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3.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hidePivotFieldList="1" defaultThemeVersion="124226"/>
  <mc:AlternateContent xmlns:mc="http://schemas.openxmlformats.org/markup-compatibility/2006">
    <mc:Choice Requires="x15">
      <x15ac:absPath xmlns:x15ac="http://schemas.microsoft.com/office/spreadsheetml/2010/11/ac" url="W:\SECTION\YCSD\00 WASH Programme\950 WASH Cluster\1. National Cluster\1. Monthly database\2. 4Ws matrix\Kachin\4W 2016\"/>
    </mc:Choice>
  </mc:AlternateContent>
  <bookViews>
    <workbookView xWindow="0" yWindow="0" windowWidth="19200" windowHeight="8325" tabRatio="813" activeTab="1"/>
  </bookViews>
  <sheets>
    <sheet name="Guide" sheetId="39" r:id="rId1"/>
    <sheet name="Snapshot" sheetId="64" r:id="rId2"/>
    <sheet name="SituationAnalysis" sheetId="40" r:id="rId3"/>
    <sheet name="Funds analysis" sheetId="55" state="hidden" r:id="rId4"/>
    <sheet name="Cluster indicator" sheetId="57" r:id="rId5"/>
    <sheet name="UNICEF" sheetId="65" state="hidden" r:id="rId6"/>
    <sheet name="Database" sheetId="58" r:id="rId7"/>
    <sheet name="Agency funds received" sheetId="63" state="hidden" r:id="rId8"/>
    <sheet name="List" sheetId="54" state="hidden" r:id="rId9"/>
  </sheets>
  <externalReferences>
    <externalReference r:id="rId10"/>
  </externalReferences>
  <definedNames>
    <definedName name="_xlnm._FilterDatabase" localSheetId="7" hidden="1">'Agency funds received'!$C$4:$AI$73</definedName>
    <definedName name="_xlnm._FilterDatabase" localSheetId="6" hidden="1">Database!$B$4:$CP$4</definedName>
    <definedName name="aa" localSheetId="4">#REF!</definedName>
    <definedName name="aa" localSheetId="5">#REF!</definedName>
    <definedName name="aa">[1]List!$B$3:$B$6</definedName>
    <definedName name="List" localSheetId="7">'Agency funds received'!$C$81:$C$84</definedName>
    <definedName name="List" localSheetId="5">#REF!</definedName>
    <definedName name="List">#REF!</definedName>
    <definedName name="_xlnm.Print_Area" localSheetId="6">Database!$B$4:$CP$4</definedName>
    <definedName name="_xlnm.Print_Area" localSheetId="1">Snapshot!$A$1:$O$39</definedName>
  </definedNames>
  <calcPr calcId="152511"/>
  <pivotCaches>
    <pivotCache cacheId="6" r:id="rId11"/>
    <pivotCache cacheId="7" r:id="rId12"/>
    <pivotCache cacheId="8" r:id="rId13"/>
  </pivotCaches>
</workbook>
</file>

<file path=xl/calcChain.xml><?xml version="1.0" encoding="utf-8"?>
<calcChain xmlns="http://schemas.openxmlformats.org/spreadsheetml/2006/main">
  <c r="N3" i="58" l="1"/>
  <c r="O3" i="58"/>
  <c r="L3" i="58" l="1"/>
  <c r="M3" i="58"/>
  <c r="E3" i="58" l="1"/>
  <c r="T142" i="58"/>
  <c r="T143" i="58"/>
  <c r="T144" i="58"/>
  <c r="T145" i="58"/>
  <c r="T146" i="58"/>
  <c r="T147" i="58"/>
  <c r="T148" i="58"/>
  <c r="T149" i="58"/>
  <c r="T150" i="58"/>
  <c r="T151" i="58"/>
  <c r="T152" i="58"/>
  <c r="T153" i="58"/>
  <c r="T154" i="58"/>
  <c r="T155" i="58"/>
  <c r="T157" i="58"/>
  <c r="T158" i="58"/>
  <c r="T159" i="58"/>
  <c r="T160"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AH77" i="58" l="1"/>
  <c r="AH78" i="58"/>
  <c r="AH79" i="58"/>
  <c r="AH80" i="58"/>
  <c r="AH81" i="58"/>
  <c r="AH82" i="58"/>
  <c r="AH83" i="58"/>
  <c r="BK177" i="58"/>
  <c r="BL177" i="58"/>
  <c r="BO177" i="58"/>
  <c r="BP177" i="58" s="1"/>
  <c r="BQ177" i="58"/>
  <c r="BS177" i="58"/>
  <c r="BU177" i="58"/>
  <c r="BV177" i="58"/>
  <c r="CB177" i="58"/>
  <c r="CE177" i="58" s="1"/>
  <c r="CF177" i="58" s="1"/>
  <c r="CG177" i="58" s="1"/>
  <c r="CH177" i="58"/>
  <c r="CK177" i="58"/>
  <c r="CM177" i="58"/>
  <c r="BK178" i="58"/>
  <c r="BL178" i="58"/>
  <c r="BO178" i="58"/>
  <c r="BP178" i="58" s="1"/>
  <c r="BQ178" i="58"/>
  <c r="BS178" i="58"/>
  <c r="BU178" i="58"/>
  <c r="BV178" i="58"/>
  <c r="CB178" i="58"/>
  <c r="CE178" i="58" s="1"/>
  <c r="CF178" i="58" s="1"/>
  <c r="CG178" i="58" s="1"/>
  <c r="CH178" i="58"/>
  <c r="CK178" i="58"/>
  <c r="CM178" i="58"/>
  <c r="BK179" i="58"/>
  <c r="BL179" i="58"/>
  <c r="BO179" i="58"/>
  <c r="BP179" i="58" s="1"/>
  <c r="BQ179" i="58"/>
  <c r="BS179" i="58"/>
  <c r="BU179" i="58"/>
  <c r="BV179" i="58"/>
  <c r="CB179" i="58"/>
  <c r="CE179" i="58" s="1"/>
  <c r="CF179" i="58" s="1"/>
  <c r="CG179" i="58" s="1"/>
  <c r="CH179" i="58"/>
  <c r="CK179" i="58"/>
  <c r="CM179" i="58"/>
  <c r="BK180" i="58"/>
  <c r="BL180" i="58"/>
  <c r="BO180" i="58"/>
  <c r="BP180" i="58" s="1"/>
  <c r="BQ180" i="58"/>
  <c r="BS180" i="58"/>
  <c r="BU180" i="58"/>
  <c r="BV180" i="58"/>
  <c r="CB180" i="58"/>
  <c r="CE180" i="58" s="1"/>
  <c r="CF180" i="58" s="1"/>
  <c r="CG180" i="58" s="1"/>
  <c r="CH180" i="58"/>
  <c r="CK180" i="58"/>
  <c r="CM180" i="58"/>
  <c r="BK181" i="58"/>
  <c r="BL181" i="58"/>
  <c r="BO181" i="58"/>
  <c r="BP181" i="58" s="1"/>
  <c r="BQ181" i="58"/>
  <c r="BS181" i="58"/>
  <c r="BU181" i="58"/>
  <c r="BV181" i="58"/>
  <c r="CB181" i="58"/>
  <c r="CE181" i="58" s="1"/>
  <c r="CF181" i="58" s="1"/>
  <c r="CG181" i="58" s="1"/>
  <c r="CH181" i="58"/>
  <c r="CK181" i="58"/>
  <c r="CM181" i="58"/>
  <c r="BK182" i="58"/>
  <c r="BL182" i="58"/>
  <c r="BO182" i="58"/>
  <c r="BP182" i="58" s="1"/>
  <c r="BQ182" i="58"/>
  <c r="BS182" i="58"/>
  <c r="BU182" i="58"/>
  <c r="BV182" i="58"/>
  <c r="CB182" i="58"/>
  <c r="CE182" i="58" s="1"/>
  <c r="CF182" i="58" s="1"/>
  <c r="CG182" i="58" s="1"/>
  <c r="CH182" i="58"/>
  <c r="CK182" i="58"/>
  <c r="CM182" i="58"/>
  <c r="BK183" i="58"/>
  <c r="BL183" i="58"/>
  <c r="BO183" i="58"/>
  <c r="BP183" i="58" s="1"/>
  <c r="BQ183" i="58"/>
  <c r="BS183" i="58"/>
  <c r="BU183" i="58"/>
  <c r="BV183" i="58"/>
  <c r="CB183" i="58"/>
  <c r="CE183" i="58" s="1"/>
  <c r="CF183" i="58" s="1"/>
  <c r="CG183" i="58" s="1"/>
  <c r="CH183" i="58"/>
  <c r="CK183" i="58"/>
  <c r="CM183" i="58"/>
  <c r="BK184" i="58"/>
  <c r="BL184" i="58"/>
  <c r="BO184" i="58"/>
  <c r="BP184" i="58" s="1"/>
  <c r="BQ184" i="58"/>
  <c r="BS184" i="58"/>
  <c r="BU184" i="58"/>
  <c r="BV184" i="58"/>
  <c r="CB184" i="58"/>
  <c r="CE184" i="58" s="1"/>
  <c r="CF184" i="58" s="1"/>
  <c r="CG184" i="58" s="1"/>
  <c r="CH184" i="58"/>
  <c r="CK184" i="58"/>
  <c r="CM184" i="58"/>
  <c r="BK185" i="58"/>
  <c r="BL185" i="58"/>
  <c r="BO185" i="58"/>
  <c r="BP185" i="58" s="1"/>
  <c r="BQ185" i="58"/>
  <c r="BS185" i="58"/>
  <c r="BU185" i="58"/>
  <c r="BV185" i="58"/>
  <c r="CB185" i="58"/>
  <c r="CE185" i="58" s="1"/>
  <c r="CF185" i="58" s="1"/>
  <c r="CG185" i="58" s="1"/>
  <c r="CH185" i="58"/>
  <c r="CK185" i="58"/>
  <c r="CM185" i="58"/>
  <c r="BK186" i="58"/>
  <c r="BL186" i="58"/>
  <c r="BO186" i="58"/>
  <c r="BP186" i="58" s="1"/>
  <c r="BQ186" i="58"/>
  <c r="BS186" i="58"/>
  <c r="BU186" i="58"/>
  <c r="BV186" i="58"/>
  <c r="CB186" i="58"/>
  <c r="CE186" i="58" s="1"/>
  <c r="CF186" i="58" s="1"/>
  <c r="CG186" i="58" s="1"/>
  <c r="CH186" i="58"/>
  <c r="CK186" i="58"/>
  <c r="CM186" i="58"/>
  <c r="BK187" i="58"/>
  <c r="BL187" i="58"/>
  <c r="BO187" i="58"/>
  <c r="BP187" i="58" s="1"/>
  <c r="BQ187" i="58"/>
  <c r="BS187" i="58"/>
  <c r="BU187" i="58"/>
  <c r="BV187" i="58"/>
  <c r="CB187" i="58"/>
  <c r="CE187" i="58" s="1"/>
  <c r="CF187" i="58" s="1"/>
  <c r="CG187" i="58" s="1"/>
  <c r="CH187" i="58"/>
  <c r="CK187" i="58"/>
  <c r="CM187" i="58"/>
  <c r="BK188" i="58"/>
  <c r="BL188" i="58"/>
  <c r="BO188" i="58"/>
  <c r="BP188" i="58" s="1"/>
  <c r="BQ188" i="58"/>
  <c r="BS188" i="58"/>
  <c r="BU188" i="58"/>
  <c r="BV188" i="58"/>
  <c r="CB188" i="58"/>
  <c r="CE188" i="58" s="1"/>
  <c r="CF188" i="58" s="1"/>
  <c r="CG188" i="58" s="1"/>
  <c r="CH188" i="58"/>
  <c r="CK188" i="58"/>
  <c r="CM188" i="58"/>
  <c r="BK189" i="58"/>
  <c r="BL189" i="58"/>
  <c r="BO189" i="58"/>
  <c r="BP189" i="58" s="1"/>
  <c r="BQ189" i="58"/>
  <c r="BS189" i="58"/>
  <c r="BU189" i="58"/>
  <c r="BV189" i="58"/>
  <c r="CB189" i="58"/>
  <c r="CE189" i="58" s="1"/>
  <c r="CF189" i="58" s="1"/>
  <c r="CG189" i="58" s="1"/>
  <c r="CH189" i="58"/>
  <c r="CK189" i="58"/>
  <c r="CM189" i="58"/>
  <c r="BC177" i="58"/>
  <c r="BD177" i="58" s="1"/>
  <c r="BG177" i="58"/>
  <c r="BH177" i="58" s="1"/>
  <c r="BC178" i="58"/>
  <c r="BD178" i="58" s="1"/>
  <c r="BG178" i="58"/>
  <c r="BH178" i="58" s="1"/>
  <c r="BC179" i="58"/>
  <c r="BD179" i="58" s="1"/>
  <c r="BG179" i="58"/>
  <c r="BH179" i="58" s="1"/>
  <c r="BC180" i="58"/>
  <c r="BG180" i="58"/>
  <c r="BH180" i="58" s="1"/>
  <c r="BC181" i="58"/>
  <c r="BG181" i="58"/>
  <c r="BH181" i="58" s="1"/>
  <c r="BC182" i="58"/>
  <c r="BD182" i="58" s="1"/>
  <c r="BG182" i="58"/>
  <c r="BH182" i="58" s="1"/>
  <c r="BC183" i="58"/>
  <c r="BG183" i="58"/>
  <c r="BH183" i="58" s="1"/>
  <c r="BC184" i="58"/>
  <c r="BD184" i="58" s="1"/>
  <c r="BG184" i="58"/>
  <c r="BH184" i="58" s="1"/>
  <c r="BC185" i="58"/>
  <c r="BD185" i="58" s="1"/>
  <c r="BG185" i="58"/>
  <c r="BH185" i="58" s="1"/>
  <c r="BC186" i="58"/>
  <c r="BD186" i="58" s="1"/>
  <c r="BG186" i="58"/>
  <c r="BH186" i="58" s="1"/>
  <c r="BC187" i="58"/>
  <c r="BD187" i="58" s="1"/>
  <c r="BG187" i="58"/>
  <c r="BH187" i="58" s="1"/>
  <c r="BC188" i="58"/>
  <c r="BD188" i="58" s="1"/>
  <c r="BG188" i="58"/>
  <c r="BH188" i="58" s="1"/>
  <c r="BC189" i="58"/>
  <c r="BD189" i="58" s="1"/>
  <c r="BG189" i="58"/>
  <c r="BH189" i="58" s="1"/>
  <c r="AH177" i="58"/>
  <c r="AI177" i="58" s="1"/>
  <c r="AJ177" i="58"/>
  <c r="AK177" i="58" s="1"/>
  <c r="AQ177" i="58"/>
  <c r="AR177" i="58"/>
  <c r="AS177" i="58"/>
  <c r="AU177" i="58"/>
  <c r="AH178" i="58"/>
  <c r="AN178" i="58" s="1"/>
  <c r="AJ178" i="58"/>
  <c r="AK178" i="58" s="1"/>
  <c r="AQ178" i="58"/>
  <c r="AR178" i="58"/>
  <c r="AS178" i="58"/>
  <c r="AU178" i="58"/>
  <c r="AH179" i="58"/>
  <c r="AL179" i="58" s="1"/>
  <c r="AM179" i="58" s="1"/>
  <c r="AJ179" i="58"/>
  <c r="AK179" i="58" s="1"/>
  <c r="AQ179" i="58"/>
  <c r="AR179" i="58"/>
  <c r="AS179" i="58"/>
  <c r="AU179" i="58"/>
  <c r="AH180" i="58"/>
  <c r="AN180" i="58" s="1"/>
  <c r="AJ180" i="58"/>
  <c r="AK180" i="58" s="1"/>
  <c r="AQ180" i="58"/>
  <c r="AR180" i="58"/>
  <c r="AS180" i="58"/>
  <c r="AU180" i="58"/>
  <c r="AH181" i="58"/>
  <c r="AI181" i="58" s="1"/>
  <c r="AJ181" i="58"/>
  <c r="AK181" i="58" s="1"/>
  <c r="AQ181" i="58"/>
  <c r="AR181" i="58"/>
  <c r="AS181" i="58"/>
  <c r="AU181" i="58"/>
  <c r="AH182" i="58"/>
  <c r="AN182" i="58" s="1"/>
  <c r="AJ182" i="58"/>
  <c r="AK182" i="58" s="1"/>
  <c r="AQ182" i="58"/>
  <c r="AR182" i="58"/>
  <c r="AS182" i="58"/>
  <c r="AU182" i="58"/>
  <c r="AH183" i="58"/>
  <c r="AJ183" i="58"/>
  <c r="AK183" i="58" s="1"/>
  <c r="AQ183" i="58"/>
  <c r="AR183" i="58"/>
  <c r="AS183" i="58"/>
  <c r="AU183" i="58"/>
  <c r="AH184" i="58"/>
  <c r="AN184" i="58" s="1"/>
  <c r="AJ184" i="58"/>
  <c r="AK184" i="58" s="1"/>
  <c r="AQ184" i="58"/>
  <c r="AR184" i="58"/>
  <c r="AS184" i="58"/>
  <c r="AU184" i="58"/>
  <c r="AH185" i="58"/>
  <c r="AI185" i="58" s="1"/>
  <c r="AJ185" i="58"/>
  <c r="AK185" i="58" s="1"/>
  <c r="AQ185" i="58"/>
  <c r="AR185" i="58"/>
  <c r="AS185" i="58"/>
  <c r="AU185" i="58"/>
  <c r="AH186" i="58"/>
  <c r="AN186" i="58" s="1"/>
  <c r="AJ186" i="58"/>
  <c r="AK186" i="58" s="1"/>
  <c r="AQ186" i="58"/>
  <c r="AR186" i="58"/>
  <c r="AS186" i="58"/>
  <c r="AU186" i="58"/>
  <c r="AH187" i="58"/>
  <c r="AJ187" i="58"/>
  <c r="AK187" i="58" s="1"/>
  <c r="AQ187" i="58"/>
  <c r="AR187" i="58"/>
  <c r="AS187" i="58"/>
  <c r="AU187" i="58"/>
  <c r="AH188" i="58"/>
  <c r="AN188" i="58" s="1"/>
  <c r="AJ188" i="58"/>
  <c r="AK188" i="58" s="1"/>
  <c r="AQ188" i="58"/>
  <c r="AR188" i="58"/>
  <c r="AS188" i="58"/>
  <c r="AU188" i="58"/>
  <c r="AH189" i="58"/>
  <c r="AI189" i="58" s="1"/>
  <c r="AJ189" i="58"/>
  <c r="AK189" i="58" s="1"/>
  <c r="AQ189" i="58"/>
  <c r="AR189" i="58"/>
  <c r="AS189" i="58"/>
  <c r="AU189" i="58"/>
  <c r="W177" i="58"/>
  <c r="W178" i="58"/>
  <c r="W179" i="58"/>
  <c r="W180" i="58"/>
  <c r="W181" i="58"/>
  <c r="W182" i="58"/>
  <c r="W183" i="58"/>
  <c r="W184" i="58"/>
  <c r="W185" i="58"/>
  <c r="W186" i="58"/>
  <c r="W187" i="58"/>
  <c r="W188" i="58"/>
  <c r="W189" i="58"/>
  <c r="P177" i="58"/>
  <c r="P178" i="58"/>
  <c r="P179" i="58"/>
  <c r="P180" i="58"/>
  <c r="P181" i="58"/>
  <c r="P182" i="58"/>
  <c r="P183" i="58"/>
  <c r="P184" i="58"/>
  <c r="P185" i="58"/>
  <c r="P186" i="58"/>
  <c r="P187" i="58"/>
  <c r="P188" i="58"/>
  <c r="P189" i="58"/>
  <c r="AL188" i="58" l="1"/>
  <c r="AM188" i="58" s="1"/>
  <c r="AI188" i="58"/>
  <c r="AL186" i="58"/>
  <c r="AM186" i="58" s="1"/>
  <c r="BE181" i="58"/>
  <c r="BF181" i="58" s="1"/>
  <c r="AL178" i="58"/>
  <c r="AM178" i="58" s="1"/>
  <c r="AL182" i="58"/>
  <c r="AM182" i="58" s="1"/>
  <c r="BE183" i="58"/>
  <c r="BF183" i="58" s="1"/>
  <c r="BE179" i="58"/>
  <c r="BF179" i="58" s="1"/>
  <c r="BE180" i="58"/>
  <c r="BF180" i="58" s="1"/>
  <c r="AL184" i="58"/>
  <c r="AM184" i="58" s="1"/>
  <c r="BE189" i="58"/>
  <c r="BF189" i="58" s="1"/>
  <c r="BE188" i="58"/>
  <c r="BF188" i="58" s="1"/>
  <c r="BE187" i="58"/>
  <c r="BF187" i="58" s="1"/>
  <c r="AI178" i="58"/>
  <c r="BD183" i="58"/>
  <c r="BD181" i="58"/>
  <c r="BD180" i="58"/>
  <c r="AN189" i="58"/>
  <c r="AO188" i="58"/>
  <c r="AP188" i="58" s="1"/>
  <c r="AO184" i="58"/>
  <c r="AP184" i="58" s="1"/>
  <c r="AO178" i="58"/>
  <c r="AP178" i="58" s="1"/>
  <c r="AN177" i="58"/>
  <c r="AL189" i="58"/>
  <c r="AM189" i="58" s="1"/>
  <c r="AI184" i="58"/>
  <c r="AI182" i="58"/>
  <c r="AL180" i="58"/>
  <c r="AM180" i="58" s="1"/>
  <c r="AL177" i="58"/>
  <c r="AM177" i="58" s="1"/>
  <c r="BE185" i="58"/>
  <c r="BF185" i="58" s="1"/>
  <c r="BE184" i="58"/>
  <c r="BF184" i="58" s="1"/>
  <c r="BE177" i="58"/>
  <c r="BF177" i="58" s="1"/>
  <c r="AO187" i="58"/>
  <c r="AP187" i="58" s="1"/>
  <c r="AN185" i="58"/>
  <c r="AO183" i="58"/>
  <c r="AP183" i="58" s="1"/>
  <c r="AO186" i="58"/>
  <c r="AP186" i="58" s="1"/>
  <c r="AL185" i="58"/>
  <c r="AM185" i="58" s="1"/>
  <c r="AO182" i="58"/>
  <c r="AP182" i="58" s="1"/>
  <c r="AN181" i="58"/>
  <c r="AO180" i="58"/>
  <c r="AP180" i="58" s="1"/>
  <c r="AI186" i="58"/>
  <c r="AL181" i="58"/>
  <c r="AM181" i="58" s="1"/>
  <c r="AI180" i="58"/>
  <c r="AO179" i="58"/>
  <c r="AP179" i="58" s="1"/>
  <c r="BE186" i="58"/>
  <c r="BF186" i="58" s="1"/>
  <c r="BE182" i="58"/>
  <c r="BF182" i="58" s="1"/>
  <c r="BE178" i="58"/>
  <c r="BF178" i="58" s="1"/>
  <c r="AL187" i="58"/>
  <c r="AM187" i="58" s="1"/>
  <c r="AN187" i="58"/>
  <c r="AN183" i="58"/>
  <c r="AN179" i="58"/>
  <c r="AO189" i="58"/>
  <c r="AP189" i="58" s="1"/>
  <c r="AI187" i="58"/>
  <c r="AO185" i="58"/>
  <c r="AP185" i="58" s="1"/>
  <c r="AI183" i="58"/>
  <c r="AO181" i="58"/>
  <c r="AP181" i="58" s="1"/>
  <c r="AI179" i="58"/>
  <c r="AO177" i="58"/>
  <c r="AP177" i="58" s="1"/>
  <c r="AL183" i="58"/>
  <c r="AM183" i="58" s="1"/>
  <c r="AD31" i="63" l="1"/>
  <c r="AC31" i="63" s="1"/>
  <c r="AB31" i="63" s="1"/>
  <c r="AA31" i="63" s="1"/>
  <c r="K31" i="63"/>
  <c r="AD68" i="63" l="1"/>
  <c r="AC68" i="63" s="1"/>
  <c r="AB68" i="63" s="1"/>
  <c r="K68" i="63"/>
  <c r="AA68" i="63" l="1"/>
  <c r="AD66" i="63" l="1"/>
  <c r="AC66" i="63"/>
  <c r="AD67" i="63"/>
  <c r="AC67" i="63" s="1"/>
  <c r="AB67" i="63" s="1"/>
  <c r="AA67" i="63" s="1"/>
  <c r="AD69" i="63"/>
  <c r="AC69" i="63" s="1"/>
  <c r="AB69" i="63" s="1"/>
  <c r="AA69" i="63" s="1"/>
  <c r="AD70" i="63"/>
  <c r="AC70" i="63"/>
  <c r="AD65" i="63"/>
  <c r="AC65" i="63"/>
  <c r="AB65" i="63"/>
  <c r="AD73" i="63"/>
  <c r="AC73" i="63"/>
  <c r="AD72" i="63"/>
  <c r="AC72" i="63"/>
  <c r="AB72" i="63"/>
  <c r="AD64" i="63"/>
  <c r="AC64" i="63" s="1"/>
  <c r="AB64" i="63" s="1"/>
  <c r="AA64" i="63" s="1"/>
  <c r="AD63" i="63"/>
  <c r="AC63" i="63"/>
  <c r="AD62" i="63"/>
  <c r="AC62" i="63" s="1"/>
  <c r="AB62" i="63" s="1"/>
  <c r="AA62" i="63" s="1"/>
  <c r="AD61" i="63"/>
  <c r="AC61" i="63" s="1"/>
  <c r="AB61" i="63" s="1"/>
  <c r="AA61" i="63" s="1"/>
  <c r="AD60" i="63"/>
  <c r="AC60" i="63" s="1"/>
  <c r="AB60" i="63" s="1"/>
  <c r="AA60" i="63" s="1"/>
  <c r="AD59" i="63"/>
  <c r="AC59" i="63" s="1"/>
  <c r="AB59" i="63" s="1"/>
  <c r="AA59" i="63" s="1"/>
  <c r="AD58" i="63"/>
  <c r="AC58" i="63" s="1"/>
  <c r="AB58" i="63" s="1"/>
  <c r="AA58" i="63" s="1"/>
  <c r="AD57" i="63"/>
  <c r="AC57" i="63"/>
  <c r="AD56" i="63"/>
  <c r="AC56" i="63" s="1"/>
  <c r="AB56" i="63" s="1"/>
  <c r="AA56" i="63" s="1"/>
  <c r="AD55" i="63"/>
  <c r="AC55" i="63"/>
  <c r="AD54" i="63"/>
  <c r="AC54" i="63" s="1"/>
  <c r="AB54" i="63" s="1"/>
  <c r="AA54" i="63" s="1"/>
  <c r="AD53" i="63"/>
  <c r="AC53" i="63"/>
  <c r="AB53" i="63"/>
  <c r="AD52" i="63"/>
  <c r="AC52" i="63"/>
  <c r="AB52" i="63"/>
  <c r="AD51" i="63"/>
  <c r="AC51" i="63"/>
  <c r="AD50" i="63"/>
  <c r="AC50" i="63"/>
  <c r="AB50" i="63"/>
  <c r="AD49" i="63"/>
  <c r="AC49" i="63"/>
  <c r="AB49" i="63"/>
  <c r="AD48" i="63"/>
  <c r="AC48" i="63" s="1"/>
  <c r="AB48" i="63" s="1"/>
  <c r="AA48" i="63" s="1"/>
  <c r="AD47" i="63"/>
  <c r="AC47" i="63"/>
  <c r="AD46" i="63"/>
  <c r="AC46" i="63" s="1"/>
  <c r="AB46" i="63" s="1"/>
  <c r="AA46" i="63" s="1"/>
  <c r="AD45" i="63"/>
  <c r="AC45" i="63" s="1"/>
  <c r="AB45" i="63" s="1"/>
  <c r="AA45" i="63" s="1"/>
  <c r="AD44" i="63"/>
  <c r="AC44" i="63" s="1"/>
  <c r="AB44" i="63" s="1"/>
  <c r="AA44" i="63" s="1"/>
  <c r="AD43" i="63"/>
  <c r="AC43" i="63" s="1"/>
  <c r="AB43" i="63" s="1"/>
  <c r="AA43" i="63" s="1"/>
  <c r="AD42" i="63"/>
  <c r="AC42" i="63"/>
  <c r="AD41" i="63"/>
  <c r="AC41" i="63" s="1"/>
  <c r="AB41" i="63" s="1"/>
  <c r="AA41" i="63" s="1"/>
  <c r="AD40" i="63"/>
  <c r="AC40" i="63" s="1"/>
  <c r="AB40" i="63" s="1"/>
  <c r="AA40" i="63" s="1"/>
  <c r="AD39" i="63"/>
  <c r="AC39" i="63"/>
  <c r="AD38" i="63"/>
  <c r="AC38" i="63" s="1"/>
  <c r="AB38" i="63" s="1"/>
  <c r="AA38" i="63" s="1"/>
  <c r="AD37" i="63"/>
  <c r="AC37" i="63" s="1"/>
  <c r="AB37" i="63" s="1"/>
  <c r="AA37" i="63" s="1"/>
  <c r="AD36" i="63"/>
  <c r="AC36" i="63" s="1"/>
  <c r="AB36" i="63" s="1"/>
  <c r="AA36" i="63" s="1"/>
  <c r="AD35" i="63"/>
  <c r="AC35" i="63" s="1"/>
  <c r="AB35" i="63" s="1"/>
  <c r="AA35" i="63" s="1"/>
  <c r="AD34" i="63"/>
  <c r="AC34" i="63"/>
  <c r="AD33" i="63"/>
  <c r="AC33" i="63"/>
  <c r="AD32" i="63"/>
  <c r="AC32" i="63"/>
  <c r="AD30" i="63"/>
  <c r="AC30" i="63" s="1"/>
  <c r="AB30" i="63" s="1"/>
  <c r="AA30" i="63" s="1"/>
  <c r="AD29" i="63"/>
  <c r="AC29" i="63" s="1"/>
  <c r="AB29" i="63" s="1"/>
  <c r="AA29" i="63" s="1"/>
  <c r="AD28" i="63"/>
  <c r="AC28" i="63"/>
  <c r="AD27" i="63"/>
  <c r="AC27" i="63" s="1"/>
  <c r="AB27" i="63" s="1"/>
  <c r="AA27" i="63" s="1"/>
  <c r="AD26" i="63"/>
  <c r="AC26" i="63"/>
  <c r="AD25" i="63"/>
  <c r="AC25" i="63"/>
  <c r="AB25" i="63"/>
  <c r="AD24" i="63"/>
  <c r="AC24" i="63"/>
  <c r="AB24" i="63"/>
  <c r="AD23" i="63"/>
  <c r="AC23" i="63"/>
  <c r="AB23" i="63"/>
  <c r="AD22" i="63"/>
  <c r="AC22" i="63"/>
  <c r="AB22" i="63"/>
  <c r="AD21" i="63"/>
  <c r="AC21" i="63"/>
  <c r="AB21" i="63"/>
  <c r="AD20" i="63"/>
  <c r="AC20" i="63"/>
  <c r="AD19" i="63"/>
  <c r="AC19" i="63"/>
  <c r="AD18" i="63"/>
  <c r="AC18" i="63"/>
  <c r="AB18" i="63"/>
  <c r="AD17" i="63"/>
  <c r="AC17" i="63"/>
  <c r="AB17" i="63"/>
  <c r="AD16" i="63"/>
  <c r="AC16" i="63"/>
  <c r="AB16" i="63"/>
  <c r="AD15" i="63"/>
  <c r="AC15" i="63"/>
  <c r="AB15" i="63"/>
  <c r="AD14" i="63"/>
  <c r="AC14" i="63" s="1"/>
  <c r="AB14" i="63" s="1"/>
  <c r="AA14" i="63" s="1"/>
  <c r="AD13" i="63"/>
  <c r="AC13" i="63"/>
  <c r="AB13" i="63"/>
  <c r="AD12" i="63"/>
  <c r="AC12" i="63"/>
  <c r="AB12" i="63"/>
  <c r="AD11" i="63"/>
  <c r="AC11" i="63"/>
  <c r="AB11" i="63"/>
  <c r="AD10" i="63"/>
  <c r="AC10" i="63"/>
  <c r="AB10" i="63"/>
  <c r="AD9" i="63"/>
  <c r="AC9" i="63"/>
  <c r="AB9" i="63"/>
  <c r="AD8" i="63"/>
  <c r="AC8" i="63" s="1"/>
  <c r="AB8" i="63" s="1"/>
  <c r="AA8" i="63" s="1"/>
  <c r="AD7" i="63"/>
  <c r="AC7" i="63" s="1"/>
  <c r="AB7" i="63" s="1"/>
  <c r="AA7" i="63" s="1"/>
  <c r="AD6" i="63"/>
  <c r="AC6" i="63"/>
  <c r="AD5" i="63"/>
  <c r="AC5" i="63"/>
  <c r="AB5" i="63"/>
  <c r="AD71" i="63"/>
  <c r="AC71" i="63"/>
  <c r="AB71" i="63" s="1"/>
  <c r="AA71" i="63" s="1"/>
  <c r="AB70" i="63" l="1"/>
  <c r="AA70" i="63" s="1"/>
  <c r="AA52" i="63"/>
  <c r="AB66" i="63"/>
  <c r="AA66" i="63" s="1"/>
  <c r="AA17" i="63"/>
  <c r="AA10" i="63"/>
  <c r="AA23" i="63"/>
  <c r="AB34" i="63"/>
  <c r="AA34" i="63" s="1"/>
  <c r="AB42" i="63"/>
  <c r="AA42" i="63" s="1"/>
  <c r="AA53" i="63"/>
  <c r="AA5" i="63"/>
  <c r="AA9" i="63"/>
  <c r="AA13" i="63"/>
  <c r="AA16" i="63"/>
  <c r="AB19" i="63"/>
  <c r="AA19" i="63" s="1"/>
  <c r="AA22" i="63"/>
  <c r="AB26" i="63"/>
  <c r="AA26" i="63" s="1"/>
  <c r="AB28" i="63"/>
  <c r="AA28" i="63" s="1"/>
  <c r="AB51" i="63"/>
  <c r="AA51" i="63" s="1"/>
  <c r="AB55" i="63"/>
  <c r="AA55" i="63" s="1"/>
  <c r="AB57" i="63"/>
  <c r="AA57" i="63" s="1"/>
  <c r="AB63" i="63"/>
  <c r="AA63" i="63" s="1"/>
  <c r="AA72" i="63"/>
  <c r="AA12" i="63"/>
  <c r="AA15" i="63"/>
  <c r="AA21" i="63"/>
  <c r="AA25" i="63"/>
  <c r="AB33" i="63"/>
  <c r="AA33" i="63" s="1"/>
  <c r="AB39" i="63"/>
  <c r="AA39" i="63" s="1"/>
  <c r="AA50" i="63"/>
  <c r="AA65" i="63"/>
  <c r="AB6" i="63"/>
  <c r="AA6" i="63" s="1"/>
  <c r="AA11" i="63"/>
  <c r="AA18" i="63"/>
  <c r="AB20" i="63"/>
  <c r="AA20" i="63" s="1"/>
  <c r="AA24" i="63"/>
  <c r="AB32" i="63"/>
  <c r="AA32" i="63" s="1"/>
  <c r="AB47" i="63"/>
  <c r="AA47" i="63" s="1"/>
  <c r="AA49" i="63"/>
  <c r="AB73" i="63"/>
  <c r="AA73" i="63" s="1"/>
  <c r="K48" i="63"/>
  <c r="K49" i="63"/>
  <c r="N49" i="63"/>
  <c r="T49" i="63"/>
  <c r="U49" i="63"/>
  <c r="V49" i="63"/>
  <c r="E7" i="65" l="1"/>
  <c r="E38" i="65"/>
  <c r="E37" i="65"/>
  <c r="D38" i="65"/>
  <c r="F30" i="65"/>
  <c r="E26" i="65"/>
  <c r="F11" i="65"/>
  <c r="E18" i="65"/>
  <c r="F22" i="65"/>
  <c r="E36" i="65"/>
  <c r="E35" i="65"/>
  <c r="E34" i="65" s="1"/>
  <c r="K45" i="63" l="1"/>
  <c r="N62" i="63" l="1"/>
  <c r="K62" i="63"/>
  <c r="P114" i="58" l="1"/>
  <c r="P138" i="58"/>
  <c r="P139" i="58"/>
  <c r="P140" i="58"/>
  <c r="P141" i="58"/>
  <c r="P142" i="58"/>
  <c r="AH114" i="58"/>
  <c r="AI114" i="58" s="1"/>
  <c r="AJ114" i="58"/>
  <c r="AK114" i="58" s="1"/>
  <c r="AH138" i="58"/>
  <c r="AI138" i="58" s="1"/>
  <c r="AJ138" i="58"/>
  <c r="AK138" i="58" s="1"/>
  <c r="AH139" i="58"/>
  <c r="AI139" i="58" s="1"/>
  <c r="AJ139" i="58"/>
  <c r="AK139" i="58" s="1"/>
  <c r="AH140" i="58"/>
  <c r="AI140" i="58" s="1"/>
  <c r="AJ140" i="58"/>
  <c r="AK140" i="58" s="1"/>
  <c r="AH141" i="58"/>
  <c r="AI141" i="58" s="1"/>
  <c r="AJ141" i="58"/>
  <c r="AK141" i="58" s="1"/>
  <c r="AH142" i="58"/>
  <c r="AI142" i="58" s="1"/>
  <c r="AJ142" i="58"/>
  <c r="AK142" i="58" s="1"/>
  <c r="BC113" i="58"/>
  <c r="BD113" i="58" s="1"/>
  <c r="BC114" i="58"/>
  <c r="BD114" i="58" s="1"/>
  <c r="BC138" i="58"/>
  <c r="BD138" i="58" s="1"/>
  <c r="BC139" i="58"/>
  <c r="BD139" i="58" s="1"/>
  <c r="BC140" i="58"/>
  <c r="BD140" i="58" s="1"/>
  <c r="BC141" i="58"/>
  <c r="BD141" i="58" s="1"/>
  <c r="BC142" i="58"/>
  <c r="BG113" i="58"/>
  <c r="BG114" i="58"/>
  <c r="BG138" i="58"/>
  <c r="BH138" i="58" s="1"/>
  <c r="BG139" i="58"/>
  <c r="BH139" i="58" s="1"/>
  <c r="BG140" i="58"/>
  <c r="BH140" i="58" s="1"/>
  <c r="BG141" i="58"/>
  <c r="BG142" i="58"/>
  <c r="BL113" i="58"/>
  <c r="BL114" i="58"/>
  <c r="BL138" i="58"/>
  <c r="BL139" i="58"/>
  <c r="BL140" i="58"/>
  <c r="BL141" i="58"/>
  <c r="BL142" i="58"/>
  <c r="BO113" i="58"/>
  <c r="BP113" i="58" s="1"/>
  <c r="BQ113" i="58"/>
  <c r="BO114" i="58"/>
  <c r="BP114" i="58" s="1"/>
  <c r="BQ114" i="58"/>
  <c r="BO138" i="58"/>
  <c r="BP138" i="58" s="1"/>
  <c r="BQ138" i="58"/>
  <c r="BO139" i="58"/>
  <c r="BP139" i="58" s="1"/>
  <c r="BQ139" i="58"/>
  <c r="BO140" i="58"/>
  <c r="BP140" i="58" s="1"/>
  <c r="BQ140" i="58"/>
  <c r="BO141" i="58"/>
  <c r="BP141" i="58" s="1"/>
  <c r="BQ141" i="58"/>
  <c r="BO142" i="58"/>
  <c r="BP142" i="58" s="1"/>
  <c r="BQ142" i="58"/>
  <c r="BU114" i="58"/>
  <c r="BU138" i="58"/>
  <c r="BU139" i="58"/>
  <c r="BU140" i="58"/>
  <c r="BU141" i="58"/>
  <c r="BU142" i="58"/>
  <c r="BV114" i="58"/>
  <c r="BV138" i="58"/>
  <c r="BV139" i="58"/>
  <c r="BV140" i="58"/>
  <c r="BV141" i="58"/>
  <c r="BV142" i="58"/>
  <c r="CB112" i="58"/>
  <c r="CB113" i="58"/>
  <c r="CE113" i="58" s="1"/>
  <c r="CF113" i="58" s="1"/>
  <c r="CB114" i="58"/>
  <c r="CE114" i="58" s="1"/>
  <c r="CF114" i="58" s="1"/>
  <c r="CB138" i="58"/>
  <c r="CE138" i="58" s="1"/>
  <c r="CF138" i="58" s="1"/>
  <c r="CG138" i="58" s="1"/>
  <c r="CB139" i="58"/>
  <c r="CE139" i="58" s="1"/>
  <c r="CF139" i="58" s="1"/>
  <c r="CG139" i="58" s="1"/>
  <c r="CB140" i="58"/>
  <c r="CE140" i="58" s="1"/>
  <c r="CF140" i="58" s="1"/>
  <c r="CG140" i="58" s="1"/>
  <c r="CB141" i="58"/>
  <c r="CE141" i="58" s="1"/>
  <c r="CF141" i="58" s="1"/>
  <c r="CB142" i="58"/>
  <c r="CE142" i="58" s="1"/>
  <c r="CF142" i="58" s="1"/>
  <c r="CH70" i="58"/>
  <c r="CH71" i="58"/>
  <c r="CH112" i="58"/>
  <c r="CH113" i="58"/>
  <c r="CH114" i="58"/>
  <c r="CH138" i="58"/>
  <c r="CH139" i="58"/>
  <c r="CH140" i="58"/>
  <c r="CH141" i="58"/>
  <c r="CH142" i="58"/>
  <c r="CM113" i="58"/>
  <c r="CM114" i="58"/>
  <c r="CM138" i="58"/>
  <c r="CM139" i="58"/>
  <c r="CM140" i="58"/>
  <c r="CM141" i="58"/>
  <c r="CM142" i="58"/>
  <c r="CK113" i="58"/>
  <c r="CK114" i="58"/>
  <c r="CK138" i="58"/>
  <c r="CK139" i="58"/>
  <c r="CK140" i="58"/>
  <c r="CK141" i="58"/>
  <c r="CK142" i="58"/>
  <c r="BS138" i="58"/>
  <c r="BS139" i="58"/>
  <c r="BS140" i="58"/>
  <c r="BS141" i="58"/>
  <c r="BS142" i="58"/>
  <c r="BK138" i="58"/>
  <c r="BK139" i="58"/>
  <c r="BK140" i="58"/>
  <c r="BK141" i="58"/>
  <c r="BK142" i="58"/>
  <c r="AU138" i="58"/>
  <c r="AU139" i="58"/>
  <c r="AU140" i="58"/>
  <c r="AU141" i="58"/>
  <c r="AQ138" i="58"/>
  <c r="AR138" i="58"/>
  <c r="AS138" i="58"/>
  <c r="AQ139" i="58"/>
  <c r="AR139" i="58"/>
  <c r="AS139" i="58"/>
  <c r="AQ140" i="58"/>
  <c r="AR140" i="58"/>
  <c r="AS140" i="58"/>
  <c r="AQ141" i="58"/>
  <c r="AR141" i="58"/>
  <c r="AS141" i="58"/>
  <c r="AQ142" i="58"/>
  <c r="AR142" i="58"/>
  <c r="AS142" i="58"/>
  <c r="W138" i="58"/>
  <c r="W139" i="58"/>
  <c r="W140" i="58"/>
  <c r="W141" i="58"/>
  <c r="W142" i="58"/>
  <c r="T138" i="58"/>
  <c r="T139" i="58"/>
  <c r="T140" i="58"/>
  <c r="T141" i="58"/>
  <c r="AN140" i="58" l="1"/>
  <c r="AN142" i="58"/>
  <c r="AN138" i="58"/>
  <c r="AN114" i="58"/>
  <c r="AL142" i="58"/>
  <c r="AM142" i="58" s="1"/>
  <c r="AN141" i="58"/>
  <c r="AL140" i="58"/>
  <c r="AM140" i="58" s="1"/>
  <c r="AN139" i="58"/>
  <c r="AL138" i="58"/>
  <c r="AM138" i="58" s="1"/>
  <c r="AO114" i="58"/>
  <c r="BE113" i="58"/>
  <c r="BE139" i="58"/>
  <c r="BF139" i="58" s="1"/>
  <c r="BE142" i="58"/>
  <c r="BE140" i="58"/>
  <c r="BF140" i="58" s="1"/>
  <c r="AO142" i="58"/>
  <c r="AL141" i="58"/>
  <c r="AM141" i="58" s="1"/>
  <c r="AO140" i="58"/>
  <c r="AP140" i="58" s="1"/>
  <c r="AL139" i="58"/>
  <c r="AM139" i="58" s="1"/>
  <c r="AO138" i="58"/>
  <c r="AP138" i="58" s="1"/>
  <c r="AL114" i="58"/>
  <c r="AM114" i="58" s="1"/>
  <c r="AO141" i="58"/>
  <c r="AO139" i="58"/>
  <c r="AP139" i="58" s="1"/>
  <c r="BE138" i="58"/>
  <c r="BF138" i="58" s="1"/>
  <c r="BD142" i="58"/>
  <c r="BE141" i="58"/>
  <c r="BE114" i="58"/>
  <c r="P70" i="58" l="1"/>
  <c r="P71" i="58"/>
  <c r="P112" i="58"/>
  <c r="P113" i="58"/>
  <c r="P143" i="58"/>
  <c r="V35" i="63" l="1"/>
  <c r="M35" i="63"/>
  <c r="N35" i="63" s="1"/>
  <c r="K35" i="63"/>
  <c r="K37" i="63"/>
  <c r="K7" i="63" l="1"/>
  <c r="K8" i="63"/>
  <c r="K30" i="63"/>
  <c r="K29" i="63"/>
  <c r="K64" i="63"/>
  <c r="K38" i="63"/>
  <c r="N38" i="63"/>
  <c r="C36" i="57" l="1"/>
  <c r="C35" i="57"/>
  <c r="C28" i="57"/>
  <c r="C27" i="57"/>
  <c r="C20" i="57"/>
  <c r="C19" i="57"/>
  <c r="D8" i="57"/>
  <c r="D36" i="57" s="1"/>
  <c r="D7" i="57"/>
  <c r="D35" i="57" s="1"/>
  <c r="D9" i="57"/>
  <c r="D37" i="57" s="1"/>
  <c r="C34" i="65"/>
  <c r="C26" i="65"/>
  <c r="C18" i="65"/>
  <c r="D12" i="65"/>
  <c r="D38" i="57"/>
  <c r="E38" i="57" s="1"/>
  <c r="C38" i="57"/>
  <c r="C37" i="57"/>
  <c r="D30" i="57"/>
  <c r="E30" i="57" s="1"/>
  <c r="C30" i="57"/>
  <c r="C29" i="57"/>
  <c r="F12" i="65" l="1"/>
  <c r="D37" i="65"/>
  <c r="C34" i="57"/>
  <c r="D34" i="57"/>
  <c r="D68" i="57" s="1"/>
  <c r="C26" i="57"/>
  <c r="E34" i="57" l="1"/>
  <c r="C68" i="57" s="1"/>
  <c r="C21" i="57" l="1"/>
  <c r="D22" i="57"/>
  <c r="E22" i="57" s="1"/>
  <c r="C22" i="57"/>
  <c r="C18" i="57" l="1"/>
  <c r="D10" i="65"/>
  <c r="F10" i="65" s="1"/>
  <c r="D8" i="65"/>
  <c r="D9" i="65"/>
  <c r="D36" i="65" l="1"/>
  <c r="F9" i="65"/>
  <c r="F8" i="65"/>
  <c r="D35" i="65"/>
  <c r="D7" i="65"/>
  <c r="F7" i="65" s="1"/>
  <c r="E11" i="57"/>
  <c r="E9" i="57"/>
  <c r="E8" i="57"/>
  <c r="E7" i="57"/>
  <c r="D34" i="65" l="1"/>
  <c r="H7" i="65"/>
  <c r="G7" i="65"/>
  <c r="K71" i="63"/>
  <c r="G34" i="65" l="1"/>
  <c r="F34" i="65"/>
  <c r="H34" i="65" s="1"/>
  <c r="K44" i="63"/>
  <c r="N41" i="63"/>
  <c r="CB143" i="58" l="1"/>
  <c r="AU18" i="58"/>
  <c r="AU19" i="58"/>
  <c r="AU20" i="58"/>
  <c r="AU21" i="58"/>
  <c r="AU22" i="58"/>
  <c r="AU23" i="58"/>
  <c r="AU24" i="58"/>
  <c r="AU25" i="58"/>
  <c r="AU26" i="58"/>
  <c r="AU27" i="58"/>
  <c r="AU28" i="58"/>
  <c r="AU29" i="58"/>
  <c r="AU30" i="58"/>
  <c r="AU31" i="58"/>
  <c r="AU32" i="58"/>
  <c r="AU33" i="58"/>
  <c r="AU34" i="58"/>
  <c r="AU35" i="58"/>
  <c r="AU36" i="58"/>
  <c r="AU37" i="58"/>
  <c r="AU38" i="58"/>
  <c r="AU39" i="58"/>
  <c r="AU40" i="58"/>
  <c r="AU41" i="58"/>
  <c r="AU42" i="58"/>
  <c r="AU43" i="58"/>
  <c r="AU46" i="58"/>
  <c r="AU67" i="58"/>
  <c r="AU156" i="58"/>
  <c r="AU72" i="58"/>
  <c r="AU73" i="58"/>
  <c r="AU74" i="58"/>
  <c r="AU75" i="58"/>
  <c r="AU76" i="58"/>
  <c r="AU77" i="58"/>
  <c r="AU80" i="58"/>
  <c r="AU115" i="58"/>
  <c r="AU116" i="58"/>
  <c r="AU117" i="58"/>
  <c r="AU118" i="58"/>
  <c r="AU119" i="58"/>
  <c r="AU120" i="58"/>
  <c r="AU121" i="58"/>
  <c r="AU122" i="58"/>
  <c r="AU123" i="58"/>
  <c r="AU124" i="58"/>
  <c r="AU125" i="58"/>
  <c r="AU126" i="58"/>
  <c r="AU127" i="58"/>
  <c r="AU128" i="58"/>
  <c r="AU129" i="58"/>
  <c r="AU130" i="58"/>
  <c r="AU131" i="58"/>
  <c r="AU161" i="58"/>
  <c r="AU132" i="58"/>
  <c r="AU133" i="58"/>
  <c r="AU134" i="58"/>
  <c r="AU135" i="58"/>
  <c r="AU136" i="58"/>
  <c r="AU137" i="58"/>
  <c r="AU144" i="58"/>
  <c r="AU145" i="58"/>
  <c r="AU146" i="58"/>
  <c r="AU150" i="58"/>
  <c r="AU151" i="58"/>
  <c r="AU152" i="58"/>
  <c r="AU153" i="58"/>
  <c r="AU154" i="58"/>
  <c r="AU155" i="58"/>
  <c r="AU157" i="58"/>
  <c r="AU158" i="58"/>
  <c r="AU159" i="58"/>
  <c r="AU160" i="58"/>
  <c r="AU162" i="58"/>
  <c r="AU163" i="58"/>
  <c r="AU164" i="58"/>
  <c r="AU165" i="58"/>
  <c r="AU166" i="58"/>
  <c r="AU167" i="58"/>
  <c r="AU168" i="58"/>
  <c r="AU169" i="58"/>
  <c r="AU170" i="58"/>
  <c r="AU171" i="58"/>
  <c r="AU172" i="58"/>
  <c r="AU173" i="58"/>
  <c r="AU174" i="58"/>
  <c r="AU175" i="58"/>
  <c r="AU176" i="58"/>
  <c r="AU7" i="58"/>
  <c r="AU9" i="58"/>
  <c r="AU10" i="58"/>
  <c r="AU11" i="58"/>
  <c r="AU12" i="58"/>
  <c r="AU16" i="58"/>
  <c r="AU65" i="58"/>
  <c r="AU78" i="58"/>
  <c r="AU79" i="58"/>
  <c r="AU82" i="58"/>
  <c r="AU83" i="58"/>
  <c r="AU95" i="58"/>
  <c r="AU98" i="58"/>
  <c r="AU99" i="58"/>
  <c r="AU147" i="58"/>
  <c r="AU148" i="58"/>
  <c r="AU6" i="58"/>
  <c r="AU5" i="58"/>
  <c r="AU13" i="58"/>
  <c r="AU14" i="58"/>
  <c r="AU15" i="58"/>
  <c r="AU81" i="58"/>
  <c r="AU85" i="58"/>
  <c r="AU86" i="58"/>
  <c r="AU87" i="58"/>
  <c r="AU88" i="58"/>
  <c r="AU89" i="58"/>
  <c r="AU90" i="58"/>
  <c r="AU91" i="58"/>
  <c r="AU93" i="58"/>
  <c r="AU96" i="58"/>
  <c r="AU103" i="58"/>
  <c r="AU61" i="58"/>
  <c r="AU62" i="58"/>
  <c r="AU100" i="58"/>
  <c r="AU8" i="58"/>
  <c r="AU48" i="58"/>
  <c r="AU55" i="58"/>
  <c r="AU58" i="58"/>
  <c r="AU60" i="58"/>
  <c r="AU102" i="58"/>
  <c r="AU106" i="58"/>
  <c r="AU105" i="58"/>
  <c r="AU104" i="58"/>
  <c r="AU110" i="58"/>
  <c r="AU108" i="58"/>
  <c r="AU107" i="58"/>
  <c r="AU109" i="58"/>
  <c r="AU66" i="58"/>
  <c r="AU84" i="58"/>
  <c r="AU94" i="58"/>
  <c r="AU97" i="58"/>
  <c r="AU101" i="58"/>
  <c r="AU111" i="58"/>
  <c r="AU149" i="58"/>
  <c r="AU92" i="58"/>
  <c r="AU44" i="58"/>
  <c r="AU45" i="58"/>
  <c r="AU47" i="58"/>
  <c r="AU49" i="58"/>
  <c r="AU50" i="58"/>
  <c r="AU51" i="58"/>
  <c r="AU52" i="58"/>
  <c r="AU53" i="58"/>
  <c r="AU54" i="58"/>
  <c r="AU56" i="58"/>
  <c r="AU57" i="58"/>
  <c r="AU59" i="58"/>
  <c r="AU63" i="58"/>
  <c r="AU64" i="58"/>
  <c r="AU68" i="58"/>
  <c r="AU69" i="58"/>
  <c r="AU70" i="58"/>
  <c r="AU71" i="58"/>
  <c r="AU112" i="58"/>
  <c r="AU113" i="58"/>
  <c r="AU114" i="58"/>
  <c r="AU142" i="58"/>
  <c r="AU143" i="58"/>
  <c r="K46" i="63" l="1"/>
  <c r="K60" i="63" l="1"/>
  <c r="K61" i="63"/>
  <c r="K63" i="63"/>
  <c r="K47" i="63"/>
  <c r="N61" i="63" l="1"/>
  <c r="T114" i="58" l="1"/>
  <c r="T113" i="58"/>
  <c r="T112" i="58"/>
  <c r="T71" i="58"/>
  <c r="T70" i="58"/>
  <c r="T69" i="58"/>
  <c r="T68" i="58"/>
  <c r="T64" i="58"/>
  <c r="T63" i="58"/>
  <c r="T59" i="58"/>
  <c r="T57" i="58"/>
  <c r="T56" i="58"/>
  <c r="T54" i="58"/>
  <c r="T53" i="58"/>
  <c r="T52" i="58"/>
  <c r="T51" i="58"/>
  <c r="T50" i="58"/>
  <c r="T49" i="58"/>
  <c r="T47" i="58"/>
  <c r="T45" i="58"/>
  <c r="T44" i="58"/>
  <c r="T92" i="58"/>
  <c r="T111" i="58"/>
  <c r="T101" i="58"/>
  <c r="T97" i="58"/>
  <c r="T94" i="58"/>
  <c r="T84" i="58"/>
  <c r="T66" i="58"/>
  <c r="T109" i="58"/>
  <c r="T107" i="58"/>
  <c r="T108" i="58"/>
  <c r="T110" i="58"/>
  <c r="T104" i="58"/>
  <c r="T105" i="58"/>
  <c r="T106" i="58"/>
  <c r="T102" i="58"/>
  <c r="T60" i="58"/>
  <c r="T58" i="58"/>
  <c r="T55" i="58"/>
  <c r="T48" i="58"/>
  <c r="T8" i="58"/>
  <c r="T100" i="58"/>
  <c r="T62" i="58"/>
  <c r="T61" i="58"/>
  <c r="T103" i="58"/>
  <c r="T96" i="58"/>
  <c r="T93" i="58"/>
  <c r="T91" i="58"/>
  <c r="T90" i="58"/>
  <c r="T89" i="58"/>
  <c r="T88" i="58"/>
  <c r="T87" i="58"/>
  <c r="T86" i="58"/>
  <c r="T85" i="58"/>
  <c r="T81" i="58"/>
  <c r="T15" i="58"/>
  <c r="T14" i="58"/>
  <c r="T13" i="58"/>
  <c r="T5" i="58"/>
  <c r="T6" i="58"/>
  <c r="T99" i="58"/>
  <c r="T98" i="58"/>
  <c r="T95" i="58"/>
  <c r="T83" i="58"/>
  <c r="T82" i="58"/>
  <c r="T79" i="58"/>
  <c r="T78" i="58"/>
  <c r="T65" i="58"/>
  <c r="T16" i="58"/>
  <c r="T12" i="58"/>
  <c r="T11" i="58"/>
  <c r="T10" i="58"/>
  <c r="T9" i="58"/>
  <c r="T7" i="58"/>
  <c r="T137" i="58"/>
  <c r="T136" i="58"/>
  <c r="T135" i="58"/>
  <c r="T134" i="58"/>
  <c r="T133" i="58"/>
  <c r="T132" i="58"/>
  <c r="T161" i="58"/>
  <c r="T131" i="58"/>
  <c r="T130" i="58"/>
  <c r="T129" i="58"/>
  <c r="T128" i="58"/>
  <c r="T127" i="58"/>
  <c r="T126" i="58"/>
  <c r="T125" i="58"/>
  <c r="T124" i="58"/>
  <c r="T123" i="58"/>
  <c r="T122" i="58"/>
  <c r="T121" i="58"/>
  <c r="T120" i="58"/>
  <c r="T119" i="58"/>
  <c r="T118" i="58"/>
  <c r="T117" i="58"/>
  <c r="T116" i="58"/>
  <c r="T115" i="58"/>
  <c r="T80" i="58"/>
  <c r="T77" i="58"/>
  <c r="T76" i="58"/>
  <c r="T75" i="58"/>
  <c r="T74" i="58"/>
  <c r="T73" i="58"/>
  <c r="T72" i="58"/>
  <c r="T156" i="58"/>
  <c r="T67" i="58"/>
  <c r="T46" i="58"/>
  <c r="T43" i="58"/>
  <c r="T42" i="58"/>
  <c r="T41" i="58"/>
  <c r="T40" i="58"/>
  <c r="T39" i="58"/>
  <c r="T38" i="58"/>
  <c r="T37" i="58"/>
  <c r="T36" i="58"/>
  <c r="T35" i="58"/>
  <c r="T34" i="58"/>
  <c r="T33" i="58"/>
  <c r="T32" i="58"/>
  <c r="T31" i="58"/>
  <c r="T30" i="58"/>
  <c r="T29" i="58"/>
  <c r="T28" i="58"/>
  <c r="T27" i="58"/>
  <c r="T26" i="58"/>
  <c r="T25" i="58"/>
  <c r="T24" i="58"/>
  <c r="T23" i="58"/>
  <c r="T22" i="58"/>
  <c r="T21" i="58"/>
  <c r="T20" i="58"/>
  <c r="T19" i="58"/>
  <c r="T18" i="58"/>
  <c r="T17" i="58"/>
  <c r="BH141" i="58"/>
  <c r="CG141" i="58"/>
  <c r="BF141" i="58" l="1"/>
  <c r="AP141" i="58"/>
  <c r="CM112" i="58" l="1"/>
  <c r="CK112" i="58"/>
  <c r="CE112" i="58"/>
  <c r="CF112" i="58" s="1"/>
  <c r="CG112" i="58" s="1"/>
  <c r="CG113" i="58"/>
  <c r="CG114" i="58"/>
  <c r="BU112" i="58"/>
  <c r="BV112" i="58"/>
  <c r="BU113" i="58"/>
  <c r="BV113" i="58"/>
  <c r="BS112" i="58"/>
  <c r="BS113" i="58"/>
  <c r="BS114" i="58"/>
  <c r="BO112" i="58"/>
  <c r="BP112" i="58" s="1"/>
  <c r="BQ112" i="58"/>
  <c r="BK112" i="58"/>
  <c r="BL112" i="58"/>
  <c r="BK113" i="58"/>
  <c r="BK114" i="58"/>
  <c r="BC112" i="58"/>
  <c r="BD112" i="58" s="1"/>
  <c r="BG112" i="58"/>
  <c r="BH112" i="58" s="1"/>
  <c r="BH113" i="58"/>
  <c r="BH114" i="58"/>
  <c r="AH112" i="58"/>
  <c r="AI112" i="58" s="1"/>
  <c r="AJ112" i="58"/>
  <c r="AK112" i="58" s="1"/>
  <c r="AQ112" i="58"/>
  <c r="AR112" i="58"/>
  <c r="AS112" i="58"/>
  <c r="AH113" i="58"/>
  <c r="AI113" i="58" s="1"/>
  <c r="AJ113" i="58"/>
  <c r="AK113" i="58" s="1"/>
  <c r="AQ113" i="58"/>
  <c r="AR113" i="58"/>
  <c r="AS113" i="58"/>
  <c r="AQ114" i="58"/>
  <c r="AR114" i="58"/>
  <c r="AS114" i="58"/>
  <c r="W112" i="58"/>
  <c r="W113" i="58"/>
  <c r="W114" i="58"/>
  <c r="BE112" i="58" l="1"/>
  <c r="BF112" i="58" s="1"/>
  <c r="AL113" i="58"/>
  <c r="AM113" i="58" s="1"/>
  <c r="BF114" i="58"/>
  <c r="AL112" i="58"/>
  <c r="AM112" i="58" s="1"/>
  <c r="BF113" i="58"/>
  <c r="AP114" i="58"/>
  <c r="AO113" i="58"/>
  <c r="AP113" i="58" s="1"/>
  <c r="AO112" i="58"/>
  <c r="AP112" i="58" s="1"/>
  <c r="AN113" i="58"/>
  <c r="AN112" i="58"/>
  <c r="AU17" i="58" l="1"/>
  <c r="AH17" i="58"/>
  <c r="AN17" i="58" s="1"/>
  <c r="AJ17" i="58"/>
  <c r="AK17" i="58" s="1"/>
  <c r="AQ17" i="58"/>
  <c r="AR17" i="58"/>
  <c r="AS17" i="58"/>
  <c r="AH18" i="58"/>
  <c r="AJ18" i="58"/>
  <c r="AK18" i="58" s="1"/>
  <c r="AQ18" i="58"/>
  <c r="AR18" i="58"/>
  <c r="AS18" i="58"/>
  <c r="AH19" i="58"/>
  <c r="AL19" i="58" s="1"/>
  <c r="AM19" i="58" s="1"/>
  <c r="AJ19" i="58"/>
  <c r="AK19" i="58" s="1"/>
  <c r="AQ19" i="58"/>
  <c r="AR19" i="58"/>
  <c r="AS19" i="58"/>
  <c r="AH20" i="58"/>
  <c r="AJ20" i="58"/>
  <c r="AK20" i="58" s="1"/>
  <c r="AQ20" i="58"/>
  <c r="AR20" i="58"/>
  <c r="AS20" i="58"/>
  <c r="AH21" i="58"/>
  <c r="AN21" i="58" s="1"/>
  <c r="AJ21" i="58"/>
  <c r="AK21" i="58" s="1"/>
  <c r="AQ21" i="58"/>
  <c r="AR21" i="58"/>
  <c r="AS21" i="58"/>
  <c r="AH22" i="58"/>
  <c r="AJ22" i="58"/>
  <c r="AK22" i="58" s="1"/>
  <c r="AQ22" i="58"/>
  <c r="AR22" i="58"/>
  <c r="AS22" i="58"/>
  <c r="AH23" i="58"/>
  <c r="AL23" i="58" s="1"/>
  <c r="AM23" i="58" s="1"/>
  <c r="AJ23" i="58"/>
  <c r="AK23" i="58" s="1"/>
  <c r="AQ23" i="58"/>
  <c r="AR23" i="58"/>
  <c r="AS23" i="58"/>
  <c r="AH24" i="58"/>
  <c r="AJ24" i="58"/>
  <c r="AK24" i="58" s="1"/>
  <c r="AQ24" i="58"/>
  <c r="AR24" i="58"/>
  <c r="AS24" i="58"/>
  <c r="AH25" i="58"/>
  <c r="AN25" i="58" s="1"/>
  <c r="AJ25" i="58"/>
  <c r="AK25" i="58" s="1"/>
  <c r="AQ25" i="58"/>
  <c r="AR25" i="58"/>
  <c r="AS25" i="58"/>
  <c r="AH26" i="58"/>
  <c r="AJ26" i="58"/>
  <c r="AK26" i="58" s="1"/>
  <c r="AQ26" i="58"/>
  <c r="AR26" i="58"/>
  <c r="AS26" i="58"/>
  <c r="AH27" i="58"/>
  <c r="AL27" i="58" s="1"/>
  <c r="AM27" i="58" s="1"/>
  <c r="AJ27" i="58"/>
  <c r="AK27" i="58" s="1"/>
  <c r="AQ27" i="58"/>
  <c r="AR27" i="58"/>
  <c r="AS27" i="58"/>
  <c r="AH28" i="58"/>
  <c r="AJ28" i="58"/>
  <c r="AQ28" i="58"/>
  <c r="AR28" i="58"/>
  <c r="AS28" i="58"/>
  <c r="AH29" i="58"/>
  <c r="AN29" i="58" s="1"/>
  <c r="AJ29" i="58"/>
  <c r="AK29" i="58" s="1"/>
  <c r="AQ29" i="58"/>
  <c r="AR29" i="58"/>
  <c r="AS29" i="58"/>
  <c r="AH30" i="58"/>
  <c r="AJ30" i="58"/>
  <c r="AK30" i="58" s="1"/>
  <c r="AQ30" i="58"/>
  <c r="AR30" i="58"/>
  <c r="AS30" i="58"/>
  <c r="AH31" i="58"/>
  <c r="AJ31" i="58"/>
  <c r="AK31" i="58" s="1"/>
  <c r="AQ31" i="58"/>
  <c r="AR31" i="58"/>
  <c r="AS31" i="58"/>
  <c r="AH32" i="58"/>
  <c r="AJ32" i="58"/>
  <c r="AK32" i="58" s="1"/>
  <c r="AQ32" i="58"/>
  <c r="AR32" i="58"/>
  <c r="AS32" i="58"/>
  <c r="AH33" i="58"/>
  <c r="AN33" i="58" s="1"/>
  <c r="AJ33" i="58"/>
  <c r="AK33" i="58" s="1"/>
  <c r="AQ33" i="58"/>
  <c r="AR33" i="58"/>
  <c r="AS33" i="58"/>
  <c r="AH34" i="58"/>
  <c r="AJ34" i="58"/>
  <c r="AK34" i="58" s="1"/>
  <c r="AQ34" i="58"/>
  <c r="AR34" i="58"/>
  <c r="AS34" i="58"/>
  <c r="AH35" i="58"/>
  <c r="AL35" i="58" s="1"/>
  <c r="AM35" i="58" s="1"/>
  <c r="AJ35" i="58"/>
  <c r="AK35" i="58" s="1"/>
  <c r="AQ35" i="58"/>
  <c r="AR35" i="58"/>
  <c r="AS35" i="58"/>
  <c r="AH36" i="58"/>
  <c r="AJ36" i="58"/>
  <c r="AQ36" i="58"/>
  <c r="AR36" i="58"/>
  <c r="AS36" i="58"/>
  <c r="AH37" i="58"/>
  <c r="AN37" i="58" s="1"/>
  <c r="AJ37" i="58"/>
  <c r="AK37" i="58" s="1"/>
  <c r="AQ37" i="58"/>
  <c r="AR37" i="58"/>
  <c r="AS37" i="58"/>
  <c r="AH38" i="58"/>
  <c r="AJ38" i="58"/>
  <c r="AK38" i="58" s="1"/>
  <c r="AQ38" i="58"/>
  <c r="AR38" i="58"/>
  <c r="AS38" i="58"/>
  <c r="AH39" i="58"/>
  <c r="AL39" i="58" s="1"/>
  <c r="AM39" i="58" s="1"/>
  <c r="AJ39" i="58"/>
  <c r="AK39" i="58" s="1"/>
  <c r="AQ39" i="58"/>
  <c r="AR39" i="58"/>
  <c r="AS39" i="58"/>
  <c r="AH40" i="58"/>
  <c r="AJ40" i="58"/>
  <c r="AK40" i="58" s="1"/>
  <c r="AQ40" i="58"/>
  <c r="AR40" i="58"/>
  <c r="AS40" i="58"/>
  <c r="AH41" i="58"/>
  <c r="AN41" i="58" s="1"/>
  <c r="AJ41" i="58"/>
  <c r="AK41" i="58" s="1"/>
  <c r="AQ41" i="58"/>
  <c r="AR41" i="58"/>
  <c r="AS41" i="58"/>
  <c r="AH42" i="58"/>
  <c r="AJ42" i="58"/>
  <c r="AK42" i="58" s="1"/>
  <c r="AQ42" i="58"/>
  <c r="AR42" i="58"/>
  <c r="AS42" i="58"/>
  <c r="AH43" i="58"/>
  <c r="AJ43" i="58"/>
  <c r="AQ43" i="58"/>
  <c r="AR43" i="58"/>
  <c r="AS43" i="58"/>
  <c r="AH46" i="58"/>
  <c r="AN46" i="58" s="1"/>
  <c r="AJ46" i="58"/>
  <c r="AK46" i="58" s="1"/>
  <c r="AQ46" i="58"/>
  <c r="AR46" i="58"/>
  <c r="AS46" i="58"/>
  <c r="AH67" i="58"/>
  <c r="AJ67" i="58"/>
  <c r="AK67" i="58" s="1"/>
  <c r="AQ67" i="58"/>
  <c r="AR67" i="58"/>
  <c r="AS67" i="58"/>
  <c r="AH156" i="58"/>
  <c r="AL156" i="58" s="1"/>
  <c r="AM156" i="58" s="1"/>
  <c r="AJ156" i="58"/>
  <c r="AK156" i="58" s="1"/>
  <c r="AQ156" i="58"/>
  <c r="AR156" i="58"/>
  <c r="AS156" i="58"/>
  <c r="AH72" i="58"/>
  <c r="AJ72" i="58"/>
  <c r="AK72" i="58" s="1"/>
  <c r="AQ72" i="58"/>
  <c r="AR72" i="58"/>
  <c r="AS72" i="58"/>
  <c r="AH73" i="58"/>
  <c r="AN73" i="58" s="1"/>
  <c r="AJ73" i="58"/>
  <c r="AK73" i="58" s="1"/>
  <c r="AQ73" i="58"/>
  <c r="AR73" i="58"/>
  <c r="AS73" i="58"/>
  <c r="AH74" i="58"/>
  <c r="AJ74" i="58"/>
  <c r="AK74" i="58" s="1"/>
  <c r="AQ74" i="58"/>
  <c r="AR74" i="58"/>
  <c r="AS74" i="58"/>
  <c r="AH75" i="58"/>
  <c r="AL75" i="58" s="1"/>
  <c r="AM75" i="58" s="1"/>
  <c r="AJ75" i="58"/>
  <c r="AK75" i="58" s="1"/>
  <c r="AQ75" i="58"/>
  <c r="AR75" i="58"/>
  <c r="AS75" i="58"/>
  <c r="AH76" i="58"/>
  <c r="AJ76" i="58"/>
  <c r="AK76" i="58" s="1"/>
  <c r="AQ76" i="58"/>
  <c r="AR76" i="58"/>
  <c r="AS76" i="58"/>
  <c r="AN77" i="58"/>
  <c r="AJ77" i="58"/>
  <c r="AK77" i="58" s="1"/>
  <c r="AQ77" i="58"/>
  <c r="AR77" i="58"/>
  <c r="AS77" i="58"/>
  <c r="AJ80" i="58"/>
  <c r="AK80" i="58" s="1"/>
  <c r="AQ80" i="58"/>
  <c r="AR80" i="58"/>
  <c r="AS80" i="58"/>
  <c r="AH115" i="58"/>
  <c r="AL115" i="58" s="1"/>
  <c r="AM115" i="58" s="1"/>
  <c r="AJ115" i="58"/>
  <c r="AK115" i="58" s="1"/>
  <c r="AQ115" i="58"/>
  <c r="AR115" i="58"/>
  <c r="AS115" i="58"/>
  <c r="AH116" i="58"/>
  <c r="AJ116" i="58"/>
  <c r="AK116" i="58" s="1"/>
  <c r="AQ116" i="58"/>
  <c r="AR116" i="58"/>
  <c r="AS116" i="58"/>
  <c r="AH117" i="58"/>
  <c r="AJ117" i="58"/>
  <c r="AK117" i="58" s="1"/>
  <c r="AQ117" i="58"/>
  <c r="AR117" i="58"/>
  <c r="AS117" i="58"/>
  <c r="AH118" i="58"/>
  <c r="AL118" i="58" s="1"/>
  <c r="AM118" i="58" s="1"/>
  <c r="AJ118" i="58"/>
  <c r="AK118" i="58" s="1"/>
  <c r="AQ118" i="58"/>
  <c r="AR118" i="58"/>
  <c r="AS118" i="58"/>
  <c r="AH119" i="58"/>
  <c r="AN119" i="58" s="1"/>
  <c r="AJ119" i="58"/>
  <c r="AK119" i="58" s="1"/>
  <c r="AQ119" i="58"/>
  <c r="AR119" i="58"/>
  <c r="AS119" i="58"/>
  <c r="AH120" i="58"/>
  <c r="AJ120" i="58"/>
  <c r="AK120" i="58" s="1"/>
  <c r="AQ120" i="58"/>
  <c r="AR120" i="58"/>
  <c r="AS120" i="58"/>
  <c r="AH121" i="58"/>
  <c r="AJ121" i="58"/>
  <c r="AK121" i="58" s="1"/>
  <c r="AQ121" i="58"/>
  <c r="AR121" i="58"/>
  <c r="AS121" i="58"/>
  <c r="AH122" i="58"/>
  <c r="AJ122" i="58"/>
  <c r="AK122" i="58" s="1"/>
  <c r="AQ122" i="58"/>
  <c r="AR122" i="58"/>
  <c r="AS122" i="58"/>
  <c r="AH123" i="58"/>
  <c r="AI123" i="58" s="1"/>
  <c r="AJ123" i="58"/>
  <c r="AK123" i="58" s="1"/>
  <c r="AQ123" i="58"/>
  <c r="AR123" i="58"/>
  <c r="AS123" i="58"/>
  <c r="AH124" i="58"/>
  <c r="AJ124" i="58"/>
  <c r="AK124" i="58" s="1"/>
  <c r="AQ124" i="58"/>
  <c r="AR124" i="58"/>
  <c r="AS124" i="58"/>
  <c r="AH125" i="58"/>
  <c r="AN125" i="58" s="1"/>
  <c r="AJ125" i="58"/>
  <c r="AK125" i="58" s="1"/>
  <c r="AQ125" i="58"/>
  <c r="AR125" i="58"/>
  <c r="AS125" i="58"/>
  <c r="AH126" i="58"/>
  <c r="AI126" i="58" s="1"/>
  <c r="AJ126" i="58"/>
  <c r="AK126" i="58" s="1"/>
  <c r="AQ126" i="58"/>
  <c r="AR126" i="58"/>
  <c r="AS126" i="58"/>
  <c r="AH127" i="58"/>
  <c r="AL127" i="58" s="1"/>
  <c r="AM127" i="58" s="1"/>
  <c r="AJ127" i="58"/>
  <c r="AK127" i="58" s="1"/>
  <c r="AQ127" i="58"/>
  <c r="AR127" i="58"/>
  <c r="AS127" i="58"/>
  <c r="AH128" i="58"/>
  <c r="AN128" i="58" s="1"/>
  <c r="AJ128" i="58"/>
  <c r="AK128" i="58" s="1"/>
  <c r="AQ128" i="58"/>
  <c r="AR128" i="58"/>
  <c r="AS128" i="58"/>
  <c r="AH129" i="58"/>
  <c r="AJ129" i="58"/>
  <c r="AK129" i="58" s="1"/>
  <c r="AQ129" i="58"/>
  <c r="AR129" i="58"/>
  <c r="AS129" i="58"/>
  <c r="AH130" i="58"/>
  <c r="AI130" i="58" s="1"/>
  <c r="AJ130" i="58"/>
  <c r="AK130" i="58" s="1"/>
  <c r="AQ130" i="58"/>
  <c r="AR130" i="58"/>
  <c r="AS130" i="58"/>
  <c r="AH131" i="58"/>
  <c r="AN131" i="58" s="1"/>
  <c r="AJ131" i="58"/>
  <c r="AK131" i="58" s="1"/>
  <c r="AQ131" i="58"/>
  <c r="AR131" i="58"/>
  <c r="AS131" i="58"/>
  <c r="AH161" i="58"/>
  <c r="AJ161" i="58"/>
  <c r="AK161" i="58" s="1"/>
  <c r="AQ161" i="58"/>
  <c r="AR161" i="58"/>
  <c r="AS161" i="58"/>
  <c r="AH132" i="58"/>
  <c r="AL132" i="58" s="1"/>
  <c r="AM132" i="58" s="1"/>
  <c r="AJ132" i="58"/>
  <c r="AK132" i="58" s="1"/>
  <c r="AQ132" i="58"/>
  <c r="AR132" i="58"/>
  <c r="AS132" i="58"/>
  <c r="AH133" i="58"/>
  <c r="AJ133" i="58"/>
  <c r="AK133" i="58" s="1"/>
  <c r="AQ133" i="58"/>
  <c r="AR133" i="58"/>
  <c r="AS133" i="58"/>
  <c r="AH134" i="58"/>
  <c r="AI134" i="58" s="1"/>
  <c r="AJ134" i="58"/>
  <c r="AK134" i="58" s="1"/>
  <c r="AQ134" i="58"/>
  <c r="AR134" i="58"/>
  <c r="AS134" i="58"/>
  <c r="AH135" i="58"/>
  <c r="AN135" i="58" s="1"/>
  <c r="AJ135" i="58"/>
  <c r="AK135" i="58" s="1"/>
  <c r="AQ135" i="58"/>
  <c r="AR135" i="58"/>
  <c r="AS135" i="58"/>
  <c r="AH136" i="58"/>
  <c r="AI136" i="58" s="1"/>
  <c r="AJ136" i="58"/>
  <c r="AK136" i="58" s="1"/>
  <c r="AQ136" i="58"/>
  <c r="AR136" i="58"/>
  <c r="AS136" i="58"/>
  <c r="AH137" i="58"/>
  <c r="AJ137" i="58"/>
  <c r="AK137" i="58" s="1"/>
  <c r="AQ137" i="58"/>
  <c r="AR137" i="58"/>
  <c r="AS137" i="58"/>
  <c r="AH144" i="58"/>
  <c r="AN144" i="58" s="1"/>
  <c r="AJ144" i="58"/>
  <c r="AK144" i="58" s="1"/>
  <c r="AQ144" i="58"/>
  <c r="AR144" i="58"/>
  <c r="AS144" i="58"/>
  <c r="AH145" i="58"/>
  <c r="AJ145" i="58"/>
  <c r="AK145" i="58" s="1"/>
  <c r="AQ145" i="58"/>
  <c r="AR145" i="58"/>
  <c r="AS145" i="58"/>
  <c r="AH146" i="58"/>
  <c r="AL146" i="58" s="1"/>
  <c r="AM146" i="58" s="1"/>
  <c r="AJ146" i="58"/>
  <c r="AQ146" i="58"/>
  <c r="AR146" i="58"/>
  <c r="AS146" i="58"/>
  <c r="AH150" i="58"/>
  <c r="AN150" i="58" s="1"/>
  <c r="AJ150" i="58"/>
  <c r="AK150" i="58" s="1"/>
  <c r="AQ150" i="58"/>
  <c r="AR150" i="58"/>
  <c r="AS150" i="58"/>
  <c r="AH151" i="58"/>
  <c r="AJ151" i="58"/>
  <c r="AK151" i="58" s="1"/>
  <c r="AQ151" i="58"/>
  <c r="AR151" i="58"/>
  <c r="AS151" i="58"/>
  <c r="AH152" i="58"/>
  <c r="AJ152" i="58"/>
  <c r="AK152" i="58" s="1"/>
  <c r="AQ152" i="58"/>
  <c r="AR152" i="58"/>
  <c r="AS152" i="58"/>
  <c r="AH153" i="58"/>
  <c r="AN153" i="58" s="1"/>
  <c r="AJ153" i="58"/>
  <c r="AK153" i="58" s="1"/>
  <c r="AQ153" i="58"/>
  <c r="AR153" i="58"/>
  <c r="AS153" i="58"/>
  <c r="AH154" i="58"/>
  <c r="AJ154" i="58"/>
  <c r="AK154" i="58" s="1"/>
  <c r="AQ154" i="58"/>
  <c r="AR154" i="58"/>
  <c r="AS154" i="58"/>
  <c r="AH155" i="58"/>
  <c r="AN155" i="58" s="1"/>
  <c r="AJ155" i="58"/>
  <c r="AK155" i="58" s="1"/>
  <c r="AQ155" i="58"/>
  <c r="AR155" i="58"/>
  <c r="AS155" i="58"/>
  <c r="AH157" i="58"/>
  <c r="AL157" i="58" s="1"/>
  <c r="AM157" i="58" s="1"/>
  <c r="AJ157" i="58"/>
  <c r="AK157" i="58" s="1"/>
  <c r="AQ157" i="58"/>
  <c r="AR157" i="58"/>
  <c r="AS157" i="58"/>
  <c r="AH158" i="58"/>
  <c r="AL158" i="58" s="1"/>
  <c r="AM158" i="58" s="1"/>
  <c r="AJ158" i="58"/>
  <c r="AK158" i="58" s="1"/>
  <c r="AQ158" i="58"/>
  <c r="AR158" i="58"/>
  <c r="AS158" i="58"/>
  <c r="AH159" i="58"/>
  <c r="AN159" i="58" s="1"/>
  <c r="AJ159" i="58"/>
  <c r="AK159" i="58" s="1"/>
  <c r="AQ159" i="58"/>
  <c r="AR159" i="58"/>
  <c r="AS159" i="58"/>
  <c r="AH160" i="58"/>
  <c r="AJ160" i="58"/>
  <c r="AK160" i="58" s="1"/>
  <c r="AQ160" i="58"/>
  <c r="AR160" i="58"/>
  <c r="AS160" i="58"/>
  <c r="AH162" i="58"/>
  <c r="AN162" i="58" s="1"/>
  <c r="AJ162" i="58"/>
  <c r="AK162" i="58" s="1"/>
  <c r="AQ162" i="58"/>
  <c r="AR162" i="58"/>
  <c r="AS162" i="58"/>
  <c r="AH163" i="58"/>
  <c r="AI163" i="58" s="1"/>
  <c r="AJ163" i="58"/>
  <c r="AK163" i="58" s="1"/>
  <c r="AQ163" i="58"/>
  <c r="AR163" i="58"/>
  <c r="AS163" i="58"/>
  <c r="AH164" i="58"/>
  <c r="AN164" i="58" s="1"/>
  <c r="AJ164" i="58"/>
  <c r="AK164" i="58" s="1"/>
  <c r="AQ164" i="58"/>
  <c r="AR164" i="58"/>
  <c r="AS164" i="58"/>
  <c r="AH165" i="58"/>
  <c r="AJ165" i="58"/>
  <c r="AK165" i="58" s="1"/>
  <c r="AQ165" i="58"/>
  <c r="AR165" i="58"/>
  <c r="AS165" i="58"/>
  <c r="AH166" i="58"/>
  <c r="AJ166" i="58"/>
  <c r="AK166" i="58" s="1"/>
  <c r="AQ166" i="58"/>
  <c r="AR166" i="58"/>
  <c r="AS166" i="58"/>
  <c r="AH167" i="58"/>
  <c r="AN167" i="58" s="1"/>
  <c r="AJ167" i="58"/>
  <c r="AK167" i="58" s="1"/>
  <c r="AQ167" i="58"/>
  <c r="AR167" i="58"/>
  <c r="AS167" i="58"/>
  <c r="AH168" i="58"/>
  <c r="AI168" i="58" s="1"/>
  <c r="AJ168" i="58"/>
  <c r="AK168" i="58" s="1"/>
  <c r="AQ168" i="58"/>
  <c r="AR168" i="58"/>
  <c r="AS168" i="58"/>
  <c r="AH169" i="58"/>
  <c r="AI169" i="58" s="1"/>
  <c r="AJ169" i="58"/>
  <c r="AK169" i="58" s="1"/>
  <c r="AQ169" i="58"/>
  <c r="AR169" i="58"/>
  <c r="AS169" i="58"/>
  <c r="AH170" i="58"/>
  <c r="AN170" i="58" s="1"/>
  <c r="AJ170" i="58"/>
  <c r="AK170" i="58" s="1"/>
  <c r="AQ170" i="58"/>
  <c r="AR170" i="58"/>
  <c r="AS170" i="58"/>
  <c r="AH171" i="58"/>
  <c r="AJ171" i="58"/>
  <c r="AK171" i="58" s="1"/>
  <c r="AQ171" i="58"/>
  <c r="AR171" i="58"/>
  <c r="AS171" i="58"/>
  <c r="AH172" i="58"/>
  <c r="AN172" i="58" s="1"/>
  <c r="AJ172" i="58"/>
  <c r="AK172" i="58" s="1"/>
  <c r="AQ172" i="58"/>
  <c r="AR172" i="58"/>
  <c r="AS172" i="58"/>
  <c r="AH173" i="58"/>
  <c r="AJ173" i="58"/>
  <c r="AK173" i="58" s="1"/>
  <c r="AQ173" i="58"/>
  <c r="AR173" i="58"/>
  <c r="AS173" i="58"/>
  <c r="AH174" i="58"/>
  <c r="AJ174" i="58"/>
  <c r="AK174" i="58" s="1"/>
  <c r="AQ174" i="58"/>
  <c r="AR174" i="58"/>
  <c r="AS174" i="58"/>
  <c r="AH175" i="58"/>
  <c r="AN175" i="58" s="1"/>
  <c r="AJ175" i="58"/>
  <c r="AK175" i="58" s="1"/>
  <c r="AQ175" i="58"/>
  <c r="AR175" i="58"/>
  <c r="AS175" i="58"/>
  <c r="AH176" i="58"/>
  <c r="AJ176" i="58"/>
  <c r="AK176" i="58" s="1"/>
  <c r="AQ176" i="58"/>
  <c r="AR176" i="58"/>
  <c r="AS176" i="58"/>
  <c r="AH7" i="58"/>
  <c r="AN7" i="58" s="1"/>
  <c r="AJ7" i="58"/>
  <c r="AK7" i="58" s="1"/>
  <c r="AQ7" i="58"/>
  <c r="AR7" i="58"/>
  <c r="AS7" i="58"/>
  <c r="AH9" i="58"/>
  <c r="AI9" i="58" s="1"/>
  <c r="AJ9" i="58"/>
  <c r="AK9" i="58" s="1"/>
  <c r="AQ9" i="58"/>
  <c r="AR9" i="58"/>
  <c r="AS9" i="58"/>
  <c r="AH10" i="58"/>
  <c r="AJ10" i="58"/>
  <c r="AK10" i="58" s="1"/>
  <c r="AQ10" i="58"/>
  <c r="AR10" i="58"/>
  <c r="AS10" i="58"/>
  <c r="AH11" i="58"/>
  <c r="AN11" i="58" s="1"/>
  <c r="AJ11" i="58"/>
  <c r="AK11" i="58" s="1"/>
  <c r="AQ11" i="58"/>
  <c r="AR11" i="58"/>
  <c r="AS11" i="58"/>
  <c r="AH12" i="58"/>
  <c r="AL12" i="58" s="1"/>
  <c r="AM12" i="58" s="1"/>
  <c r="AJ12" i="58"/>
  <c r="AK12" i="58" s="1"/>
  <c r="AQ12" i="58"/>
  <c r="AR12" i="58"/>
  <c r="AS12" i="58"/>
  <c r="AH16" i="58"/>
  <c r="AL16" i="58" s="1"/>
  <c r="AM16" i="58" s="1"/>
  <c r="AJ16" i="58"/>
  <c r="AK16" i="58" s="1"/>
  <c r="AQ16" i="58"/>
  <c r="AR16" i="58"/>
  <c r="AS16" i="58"/>
  <c r="AH65" i="58"/>
  <c r="AN65" i="58" s="1"/>
  <c r="AJ65" i="58"/>
  <c r="AK65" i="58" s="1"/>
  <c r="AQ65" i="58"/>
  <c r="AR65" i="58"/>
  <c r="AS65" i="58"/>
  <c r="AL78" i="58"/>
  <c r="AM78" i="58" s="1"/>
  <c r="AJ78" i="58"/>
  <c r="AK78" i="58" s="1"/>
  <c r="AQ78" i="58"/>
  <c r="AR78" i="58"/>
  <c r="AS78" i="58"/>
  <c r="AL79" i="58"/>
  <c r="AM79" i="58" s="1"/>
  <c r="AJ79" i="58"/>
  <c r="AK79" i="58" s="1"/>
  <c r="AQ79" i="58"/>
  <c r="AR79" i="58"/>
  <c r="AS79" i="58"/>
  <c r="AN82" i="58"/>
  <c r="AJ82" i="58"/>
  <c r="AK82" i="58" s="1"/>
  <c r="AQ82" i="58"/>
  <c r="AR82" i="58"/>
  <c r="AS82" i="58"/>
  <c r="AN83" i="58"/>
  <c r="AJ83" i="58"/>
  <c r="AK83" i="58" s="1"/>
  <c r="AQ83" i="58"/>
  <c r="AR83" i="58"/>
  <c r="AS83" i="58"/>
  <c r="AH95" i="58"/>
  <c r="AJ95" i="58"/>
  <c r="AK95" i="58" s="1"/>
  <c r="AQ95" i="58"/>
  <c r="AR95" i="58"/>
  <c r="AS95" i="58"/>
  <c r="AH98" i="58"/>
  <c r="AJ98" i="58"/>
  <c r="AK98" i="58" s="1"/>
  <c r="AQ98" i="58"/>
  <c r="AR98" i="58"/>
  <c r="AS98" i="58"/>
  <c r="AH99" i="58"/>
  <c r="AN99" i="58" s="1"/>
  <c r="AJ99" i="58"/>
  <c r="AK99" i="58" s="1"/>
  <c r="AQ99" i="58"/>
  <c r="AR99" i="58"/>
  <c r="AS99" i="58"/>
  <c r="AH147" i="58"/>
  <c r="AL147" i="58" s="1"/>
  <c r="AM147" i="58" s="1"/>
  <c r="AJ147" i="58"/>
  <c r="AK147" i="58" s="1"/>
  <c r="AQ147" i="58"/>
  <c r="AR147" i="58"/>
  <c r="AS147" i="58"/>
  <c r="AH148" i="58"/>
  <c r="AL148" i="58" s="1"/>
  <c r="AM148" i="58" s="1"/>
  <c r="AJ148" i="58"/>
  <c r="AK148" i="58" s="1"/>
  <c r="AQ148" i="58"/>
  <c r="AR148" i="58"/>
  <c r="AS148" i="58"/>
  <c r="AH6" i="58"/>
  <c r="AI6" i="58" s="1"/>
  <c r="AJ6" i="58"/>
  <c r="AK6" i="58" s="1"/>
  <c r="AQ6" i="58"/>
  <c r="AR6" i="58"/>
  <c r="AS6" i="58"/>
  <c r="AH5" i="58"/>
  <c r="AN5" i="58" s="1"/>
  <c r="AJ5" i="58"/>
  <c r="AK5" i="58" s="1"/>
  <c r="AQ5" i="58"/>
  <c r="AR5" i="58"/>
  <c r="AS5" i="58"/>
  <c r="AH13" i="58"/>
  <c r="AJ13" i="58"/>
  <c r="AK13" i="58" s="1"/>
  <c r="AQ13" i="58"/>
  <c r="AR13" i="58"/>
  <c r="AS13" i="58"/>
  <c r="AH14" i="58"/>
  <c r="AI14" i="58" s="1"/>
  <c r="AJ14" i="58"/>
  <c r="AK14" i="58" s="1"/>
  <c r="AQ14" i="58"/>
  <c r="AR14" i="58"/>
  <c r="AS14" i="58"/>
  <c r="AH15" i="58"/>
  <c r="AN15" i="58" s="1"/>
  <c r="AJ15" i="58"/>
  <c r="AK15" i="58" s="1"/>
  <c r="AQ15" i="58"/>
  <c r="AR15" i="58"/>
  <c r="AS15" i="58"/>
  <c r="AN81" i="58"/>
  <c r="AJ81" i="58"/>
  <c r="AK81" i="58" s="1"/>
  <c r="AQ81" i="58"/>
  <c r="AR81" i="58"/>
  <c r="AS81" i="58"/>
  <c r="AH85" i="58"/>
  <c r="AL85" i="58" s="1"/>
  <c r="AM85" i="58" s="1"/>
  <c r="AJ85" i="58"/>
  <c r="AK85" i="58" s="1"/>
  <c r="AQ85" i="58"/>
  <c r="AR85" i="58"/>
  <c r="AS85" i="58"/>
  <c r="AH86" i="58"/>
  <c r="AJ86" i="58"/>
  <c r="AQ86" i="58"/>
  <c r="AR86" i="58"/>
  <c r="AS86" i="58"/>
  <c r="AH87" i="58"/>
  <c r="AN87" i="58" s="1"/>
  <c r="AJ87" i="58"/>
  <c r="AK87" i="58" s="1"/>
  <c r="AQ87" i="58"/>
  <c r="AR87" i="58"/>
  <c r="AS87" i="58"/>
  <c r="AH88" i="58"/>
  <c r="AN88" i="58" s="1"/>
  <c r="AJ88" i="58"/>
  <c r="AK88" i="58" s="1"/>
  <c r="AQ88" i="58"/>
  <c r="AR88" i="58"/>
  <c r="AS88" i="58"/>
  <c r="AH89" i="58"/>
  <c r="AJ89" i="58"/>
  <c r="AK89" i="58" s="1"/>
  <c r="AQ89" i="58"/>
  <c r="AR89" i="58"/>
  <c r="AS89" i="58"/>
  <c r="AH90" i="58"/>
  <c r="AN90" i="58" s="1"/>
  <c r="AJ90" i="58"/>
  <c r="AK90" i="58" s="1"/>
  <c r="AQ90" i="58"/>
  <c r="AR90" i="58"/>
  <c r="AS90" i="58"/>
  <c r="AH91" i="58"/>
  <c r="AI91" i="58" s="1"/>
  <c r="AJ91" i="58"/>
  <c r="AK91" i="58" s="1"/>
  <c r="AQ91" i="58"/>
  <c r="AR91" i="58"/>
  <c r="AS91" i="58"/>
  <c r="AH93" i="58"/>
  <c r="AJ93" i="58"/>
  <c r="AK93" i="58" s="1"/>
  <c r="AQ93" i="58"/>
  <c r="AR93" i="58"/>
  <c r="AS93" i="58"/>
  <c r="AH96" i="58"/>
  <c r="AJ96" i="58"/>
  <c r="AK96" i="58" s="1"/>
  <c r="AQ96" i="58"/>
  <c r="AR96" i="58"/>
  <c r="AS96" i="58"/>
  <c r="AH103" i="58"/>
  <c r="AN103" i="58" s="1"/>
  <c r="AJ103" i="58"/>
  <c r="AK103" i="58" s="1"/>
  <c r="AQ103" i="58"/>
  <c r="AR103" i="58"/>
  <c r="AS103" i="58"/>
  <c r="AH61" i="58"/>
  <c r="AL61" i="58" s="1"/>
  <c r="AM61" i="58" s="1"/>
  <c r="AJ61" i="58"/>
  <c r="AK61" i="58" s="1"/>
  <c r="AQ61" i="58"/>
  <c r="AR61" i="58"/>
  <c r="AS61" i="58"/>
  <c r="AH62" i="58"/>
  <c r="AN62" i="58" s="1"/>
  <c r="AJ62" i="58"/>
  <c r="AK62" i="58" s="1"/>
  <c r="AQ62" i="58"/>
  <c r="AR62" i="58"/>
  <c r="AS62" i="58"/>
  <c r="AH100" i="58"/>
  <c r="AN100" i="58" s="1"/>
  <c r="AJ100" i="58"/>
  <c r="AK100" i="58" s="1"/>
  <c r="AQ100" i="58"/>
  <c r="AR100" i="58"/>
  <c r="AS100" i="58"/>
  <c r="AH8" i="58"/>
  <c r="AL8" i="58" s="1"/>
  <c r="AM8" i="58" s="1"/>
  <c r="AJ8" i="58"/>
  <c r="AK8" i="58" s="1"/>
  <c r="AQ8" i="58"/>
  <c r="AR8" i="58"/>
  <c r="AS8" i="58"/>
  <c r="AH48" i="58"/>
  <c r="AN48" i="58" s="1"/>
  <c r="AJ48" i="58"/>
  <c r="AK48" i="58" s="1"/>
  <c r="AQ48" i="58"/>
  <c r="AR48" i="58"/>
  <c r="AS48" i="58"/>
  <c r="AH55" i="58"/>
  <c r="AN55" i="58" s="1"/>
  <c r="AJ55" i="58"/>
  <c r="AK55" i="58" s="1"/>
  <c r="AQ55" i="58"/>
  <c r="AR55" i="58"/>
  <c r="AS55" i="58"/>
  <c r="AH58" i="58"/>
  <c r="AL58" i="58" s="1"/>
  <c r="AM58" i="58" s="1"/>
  <c r="AJ58" i="58"/>
  <c r="AK58" i="58" s="1"/>
  <c r="AQ58" i="58"/>
  <c r="AR58" i="58"/>
  <c r="AS58" i="58"/>
  <c r="AH60" i="58"/>
  <c r="AJ60" i="58"/>
  <c r="AK60" i="58" s="1"/>
  <c r="AQ60" i="58"/>
  <c r="AR60" i="58"/>
  <c r="AS60" i="58"/>
  <c r="AH102" i="58"/>
  <c r="AN102" i="58" s="1"/>
  <c r="AJ102" i="58"/>
  <c r="AK102" i="58" s="1"/>
  <c r="AQ102" i="58"/>
  <c r="AR102" i="58"/>
  <c r="AS102" i="58"/>
  <c r="AH106" i="58"/>
  <c r="AN106" i="58" s="1"/>
  <c r="AJ106" i="58"/>
  <c r="AK106" i="58" s="1"/>
  <c r="AQ106" i="58"/>
  <c r="AR106" i="58"/>
  <c r="AS106" i="58"/>
  <c r="AH105" i="58"/>
  <c r="AJ105" i="58"/>
  <c r="AK105" i="58" s="1"/>
  <c r="AQ105" i="58"/>
  <c r="AR105" i="58"/>
  <c r="AS105" i="58"/>
  <c r="AH104" i="58"/>
  <c r="AL104" i="58" s="1"/>
  <c r="AM104" i="58" s="1"/>
  <c r="AJ104" i="58"/>
  <c r="AK104" i="58" s="1"/>
  <c r="AQ104" i="58"/>
  <c r="AR104" i="58"/>
  <c r="AS104" i="58"/>
  <c r="AH110" i="58"/>
  <c r="AN110" i="58" s="1"/>
  <c r="AJ110" i="58"/>
  <c r="AK110" i="58" s="1"/>
  <c r="AQ110" i="58"/>
  <c r="AR110" i="58"/>
  <c r="AS110" i="58"/>
  <c r="AH108" i="58"/>
  <c r="AN108" i="58" s="1"/>
  <c r="AJ108" i="58"/>
  <c r="AK108" i="58" s="1"/>
  <c r="AQ108" i="58"/>
  <c r="AR108" i="58"/>
  <c r="AS108" i="58"/>
  <c r="AH107" i="58"/>
  <c r="AL107" i="58" s="1"/>
  <c r="AM107" i="58" s="1"/>
  <c r="AJ107" i="58"/>
  <c r="AK107" i="58" s="1"/>
  <c r="AQ107" i="58"/>
  <c r="AR107" i="58"/>
  <c r="AS107" i="58"/>
  <c r="AH109" i="58"/>
  <c r="AN109" i="58" s="1"/>
  <c r="AJ109" i="58"/>
  <c r="AK109" i="58" s="1"/>
  <c r="AQ109" i="58"/>
  <c r="AR109" i="58"/>
  <c r="AS109" i="58"/>
  <c r="AH66" i="58"/>
  <c r="AJ66" i="58"/>
  <c r="AK66" i="58" s="1"/>
  <c r="AQ66" i="58"/>
  <c r="AR66" i="58"/>
  <c r="AS66" i="58"/>
  <c r="AH84" i="58"/>
  <c r="AN84" i="58" s="1"/>
  <c r="AJ84" i="58"/>
  <c r="AK84" i="58" s="1"/>
  <c r="AQ84" i="58"/>
  <c r="AR84" i="58"/>
  <c r="AS84" i="58"/>
  <c r="AH94" i="58"/>
  <c r="AJ94" i="58"/>
  <c r="AK94" i="58" s="1"/>
  <c r="AQ94" i="58"/>
  <c r="AR94" i="58"/>
  <c r="AS94" i="58"/>
  <c r="AH97" i="58"/>
  <c r="AN97" i="58" s="1"/>
  <c r="AJ97" i="58"/>
  <c r="AK97" i="58" s="1"/>
  <c r="AQ97" i="58"/>
  <c r="AR97" i="58"/>
  <c r="AS97" i="58"/>
  <c r="AH101" i="58"/>
  <c r="AN101" i="58" s="1"/>
  <c r="AJ101" i="58"/>
  <c r="AK101" i="58" s="1"/>
  <c r="AQ101" i="58"/>
  <c r="AR101" i="58"/>
  <c r="AS101" i="58"/>
  <c r="AH111" i="58"/>
  <c r="AN111" i="58" s="1"/>
  <c r="AJ111" i="58"/>
  <c r="AK111" i="58" s="1"/>
  <c r="AQ111" i="58"/>
  <c r="AR111" i="58"/>
  <c r="AS111" i="58"/>
  <c r="AH149" i="58"/>
  <c r="AJ149" i="58"/>
  <c r="AK149" i="58" s="1"/>
  <c r="AQ149" i="58"/>
  <c r="AR149" i="58"/>
  <c r="AS149" i="58"/>
  <c r="AH92" i="58"/>
  <c r="AN92" i="58" s="1"/>
  <c r="AJ92" i="58"/>
  <c r="AK92" i="58" s="1"/>
  <c r="AQ92" i="58"/>
  <c r="AR92" i="58"/>
  <c r="AS92" i="58"/>
  <c r="AH44" i="58"/>
  <c r="AJ44" i="58"/>
  <c r="AK44" i="58" s="1"/>
  <c r="AQ44" i="58"/>
  <c r="AR44" i="58"/>
  <c r="AS44" i="58"/>
  <c r="AH45" i="58"/>
  <c r="AN45" i="58" s="1"/>
  <c r="AJ45" i="58"/>
  <c r="AK45" i="58" s="1"/>
  <c r="AQ45" i="58"/>
  <c r="AR45" i="58"/>
  <c r="AS45" i="58"/>
  <c r="AH47" i="58"/>
  <c r="AJ47" i="58"/>
  <c r="AK47" i="58" s="1"/>
  <c r="AQ47" i="58"/>
  <c r="AR47" i="58"/>
  <c r="AS47" i="58"/>
  <c r="AH49" i="58"/>
  <c r="AJ49" i="58"/>
  <c r="AK49" i="58" s="1"/>
  <c r="AQ49" i="58"/>
  <c r="AR49" i="58"/>
  <c r="AS49" i="58"/>
  <c r="AH50" i="58"/>
  <c r="AN50" i="58" s="1"/>
  <c r="AJ50" i="58"/>
  <c r="AK50" i="58" s="1"/>
  <c r="AQ50" i="58"/>
  <c r="AR50" i="58"/>
  <c r="AS50" i="58"/>
  <c r="AH51" i="58"/>
  <c r="AN51" i="58" s="1"/>
  <c r="AJ51" i="58"/>
  <c r="AK51" i="58" s="1"/>
  <c r="AQ51" i="58"/>
  <c r="AR51" i="58"/>
  <c r="AS51" i="58"/>
  <c r="AH52" i="58"/>
  <c r="AL52" i="58" s="1"/>
  <c r="AM52" i="58" s="1"/>
  <c r="AJ52" i="58"/>
  <c r="AK52" i="58" s="1"/>
  <c r="AQ52" i="58"/>
  <c r="AR52" i="58"/>
  <c r="AS52" i="58"/>
  <c r="AH53" i="58"/>
  <c r="AN53" i="58" s="1"/>
  <c r="AJ53" i="58"/>
  <c r="AK53" i="58" s="1"/>
  <c r="AQ53" i="58"/>
  <c r="AR53" i="58"/>
  <c r="AS53" i="58"/>
  <c r="AH54" i="58"/>
  <c r="AJ54" i="58"/>
  <c r="AK54" i="58" s="1"/>
  <c r="AQ54" i="58"/>
  <c r="AR54" i="58"/>
  <c r="AS54" i="58"/>
  <c r="AH56" i="58"/>
  <c r="AN56" i="58" s="1"/>
  <c r="AJ56" i="58"/>
  <c r="AK56" i="58" s="1"/>
  <c r="AQ56" i="58"/>
  <c r="AR56" i="58"/>
  <c r="AS56" i="58"/>
  <c r="AH57" i="58"/>
  <c r="AJ57" i="58"/>
  <c r="AK57" i="58" s="1"/>
  <c r="AQ57" i="58"/>
  <c r="AR57" i="58"/>
  <c r="AS57" i="58"/>
  <c r="AH59" i="58"/>
  <c r="AN59" i="58" s="1"/>
  <c r="AJ59" i="58"/>
  <c r="AK59" i="58" s="1"/>
  <c r="AQ59" i="58"/>
  <c r="AR59" i="58"/>
  <c r="AS59" i="58"/>
  <c r="AH63" i="58"/>
  <c r="AN63" i="58" s="1"/>
  <c r="AJ63" i="58"/>
  <c r="AK63" i="58" s="1"/>
  <c r="AQ63" i="58"/>
  <c r="AR63" i="58"/>
  <c r="AS63" i="58"/>
  <c r="AH64" i="58"/>
  <c r="AN64" i="58" s="1"/>
  <c r="AJ64" i="58"/>
  <c r="AK64" i="58" s="1"/>
  <c r="AQ64" i="58"/>
  <c r="AR64" i="58"/>
  <c r="AS64" i="58"/>
  <c r="AH68" i="58"/>
  <c r="AL68" i="58" s="1"/>
  <c r="AM68" i="58" s="1"/>
  <c r="AJ68" i="58"/>
  <c r="AK68" i="58" s="1"/>
  <c r="AQ68" i="58"/>
  <c r="AR68" i="58"/>
  <c r="AS68" i="58"/>
  <c r="AH69" i="58"/>
  <c r="AN69" i="58" s="1"/>
  <c r="AJ69" i="58"/>
  <c r="AK69" i="58" s="1"/>
  <c r="AQ69" i="58"/>
  <c r="AR69" i="58"/>
  <c r="AS69" i="58"/>
  <c r="AI83" i="58" l="1"/>
  <c r="AI97" i="58"/>
  <c r="AL90" i="58"/>
  <c r="AM90" i="58" s="1"/>
  <c r="AL15" i="58"/>
  <c r="AM15" i="58" s="1"/>
  <c r="AL97" i="58"/>
  <c r="AM97" i="58" s="1"/>
  <c r="AL169" i="58"/>
  <c r="AM169" i="58" s="1"/>
  <c r="AL109" i="58"/>
  <c r="AM109" i="58" s="1"/>
  <c r="AL110" i="58"/>
  <c r="AM110" i="58" s="1"/>
  <c r="AI131" i="58"/>
  <c r="AN156" i="58"/>
  <c r="AL91" i="58"/>
  <c r="AM91" i="58" s="1"/>
  <c r="AN19" i="58"/>
  <c r="AI69" i="58"/>
  <c r="AL63" i="58"/>
  <c r="AM63" i="58" s="1"/>
  <c r="AL119" i="58"/>
  <c r="AM119" i="58" s="1"/>
  <c r="AI144" i="58"/>
  <c r="AO36" i="58"/>
  <c r="AP36" i="58" s="1"/>
  <c r="AL101" i="58"/>
  <c r="AM101" i="58" s="1"/>
  <c r="AI92" i="58"/>
  <c r="AI101" i="58"/>
  <c r="AL172" i="58"/>
  <c r="AM172" i="58" s="1"/>
  <c r="AO92" i="58"/>
  <c r="AP92" i="58" s="1"/>
  <c r="AI110" i="58"/>
  <c r="AI7" i="58"/>
  <c r="AL59" i="58"/>
  <c r="AM59" i="58" s="1"/>
  <c r="AL50" i="58"/>
  <c r="AM50" i="58" s="1"/>
  <c r="AL48" i="58"/>
  <c r="AM48" i="58" s="1"/>
  <c r="AO7" i="58"/>
  <c r="AP7" i="58" s="1"/>
  <c r="AO34" i="58"/>
  <c r="AP34" i="58" s="1"/>
  <c r="AL69" i="58"/>
  <c r="AM69" i="58" s="1"/>
  <c r="AL56" i="58"/>
  <c r="AM56" i="58" s="1"/>
  <c r="AL84" i="58"/>
  <c r="AM84" i="58" s="1"/>
  <c r="AL106" i="58"/>
  <c r="AM106" i="58" s="1"/>
  <c r="AL9" i="58"/>
  <c r="AM9" i="58" s="1"/>
  <c r="AL150" i="58"/>
  <c r="AM150" i="58" s="1"/>
  <c r="AL123" i="58"/>
  <c r="AM123" i="58" s="1"/>
  <c r="AO59" i="58"/>
  <c r="AP59" i="58" s="1"/>
  <c r="AI59" i="58"/>
  <c r="AO97" i="58"/>
  <c r="AP97" i="58" s="1"/>
  <c r="AI90" i="58"/>
  <c r="AI87" i="58"/>
  <c r="AL83" i="58"/>
  <c r="AM83" i="58" s="1"/>
  <c r="AL7" i="58"/>
  <c r="AM7" i="58" s="1"/>
  <c r="AI172" i="58"/>
  <c r="AI153" i="58"/>
  <c r="AL144" i="58"/>
  <c r="AM144" i="58" s="1"/>
  <c r="AL135" i="58"/>
  <c r="AM135" i="58" s="1"/>
  <c r="AL131" i="58"/>
  <c r="AM131" i="58" s="1"/>
  <c r="AO120" i="58"/>
  <c r="AP120" i="58" s="1"/>
  <c r="AI119" i="58"/>
  <c r="AO67" i="58"/>
  <c r="AP67" i="58" s="1"/>
  <c r="AO18" i="58"/>
  <c r="AP18" i="58" s="1"/>
  <c r="AO95" i="58"/>
  <c r="AP95" i="58" s="1"/>
  <c r="AO74" i="58"/>
  <c r="AP74" i="58" s="1"/>
  <c r="AO50" i="58"/>
  <c r="AP50" i="58" s="1"/>
  <c r="AL92" i="58"/>
  <c r="AM92" i="58" s="1"/>
  <c r="AO48" i="58"/>
  <c r="AP48" i="58" s="1"/>
  <c r="AL88" i="58"/>
  <c r="AM88" i="58" s="1"/>
  <c r="AL170" i="58"/>
  <c r="AM170" i="58" s="1"/>
  <c r="AO165" i="58"/>
  <c r="AP165" i="58" s="1"/>
  <c r="AL164" i="58"/>
  <c r="AM164" i="58" s="1"/>
  <c r="AO162" i="58"/>
  <c r="AP162" i="58" s="1"/>
  <c r="AL155" i="58"/>
  <c r="AM155" i="58" s="1"/>
  <c r="AO153" i="58"/>
  <c r="AP153" i="58" s="1"/>
  <c r="AL130" i="58"/>
  <c r="AM130" i="58" s="1"/>
  <c r="AL125" i="58"/>
  <c r="AM125" i="58" s="1"/>
  <c r="AN75" i="58"/>
  <c r="AO26" i="58"/>
  <c r="AP26" i="58" s="1"/>
  <c r="AN23" i="58"/>
  <c r="AO69" i="58"/>
  <c r="AP69" i="58" s="1"/>
  <c r="AI63" i="58"/>
  <c r="AL53" i="58"/>
  <c r="AM53" i="58" s="1"/>
  <c r="AI50" i="58"/>
  <c r="AO110" i="58"/>
  <c r="AP110" i="58" s="1"/>
  <c r="AI48" i="58"/>
  <c r="AO90" i="58"/>
  <c r="AP90" i="58" s="1"/>
  <c r="AI15" i="58"/>
  <c r="AL11" i="58"/>
  <c r="AM11" i="58" s="1"/>
  <c r="AL175" i="58"/>
  <c r="AM175" i="58" s="1"/>
  <c r="AL162" i="58"/>
  <c r="AM162" i="58" s="1"/>
  <c r="AL159" i="58"/>
  <c r="AM159" i="58" s="1"/>
  <c r="AO157" i="58"/>
  <c r="AP157" i="58" s="1"/>
  <c r="AL153" i="58"/>
  <c r="AM153" i="58" s="1"/>
  <c r="AL136" i="58"/>
  <c r="AM136" i="58" s="1"/>
  <c r="AO117" i="58"/>
  <c r="AP117" i="58" s="1"/>
  <c r="AN115" i="58"/>
  <c r="AN49" i="58"/>
  <c r="AI49" i="58"/>
  <c r="AN96" i="58"/>
  <c r="AI96" i="58"/>
  <c r="AN13" i="58"/>
  <c r="AI13" i="58"/>
  <c r="AN154" i="58"/>
  <c r="AL154" i="58"/>
  <c r="AM154" i="58" s="1"/>
  <c r="AN122" i="58"/>
  <c r="AL122" i="58"/>
  <c r="AM122" i="58" s="1"/>
  <c r="AL31" i="58"/>
  <c r="AM31" i="58" s="1"/>
  <c r="AN31" i="58"/>
  <c r="AN149" i="58"/>
  <c r="AI149" i="58"/>
  <c r="AN57" i="58"/>
  <c r="AL57" i="58"/>
  <c r="AM57" i="58" s="1"/>
  <c r="AN54" i="58"/>
  <c r="AL54" i="58"/>
  <c r="AM54" i="58" s="1"/>
  <c r="AI54" i="58"/>
  <c r="AO54" i="58"/>
  <c r="AP54" i="58" s="1"/>
  <c r="AN52" i="58"/>
  <c r="AI52" i="58"/>
  <c r="AN44" i="58"/>
  <c r="AL44" i="58"/>
  <c r="AM44" i="58" s="1"/>
  <c r="AL149" i="58"/>
  <c r="AM149" i="58" s="1"/>
  <c r="AN104" i="58"/>
  <c r="AI104" i="58"/>
  <c r="AN85" i="58"/>
  <c r="AI85" i="58"/>
  <c r="AL14" i="58"/>
  <c r="AM14" i="58" s="1"/>
  <c r="AL6" i="58"/>
  <c r="AM6" i="58" s="1"/>
  <c r="AN148" i="58"/>
  <c r="AI148" i="58"/>
  <c r="AO148" i="58"/>
  <c r="AP148" i="58" s="1"/>
  <c r="AO146" i="58"/>
  <c r="AP146" i="58" s="1"/>
  <c r="AK146" i="58"/>
  <c r="AN132" i="58"/>
  <c r="AI132" i="58"/>
  <c r="AN68" i="58"/>
  <c r="AI68" i="58"/>
  <c r="AL49" i="58"/>
  <c r="AM49" i="58" s="1"/>
  <c r="AN47" i="58"/>
  <c r="AI47" i="58"/>
  <c r="AL47" i="58"/>
  <c r="AM47" i="58" s="1"/>
  <c r="AN94" i="58"/>
  <c r="AL94" i="58"/>
  <c r="AM94" i="58" s="1"/>
  <c r="AN66" i="58"/>
  <c r="AL66" i="58"/>
  <c r="AM66" i="58" s="1"/>
  <c r="AI66" i="58"/>
  <c r="AO66" i="58"/>
  <c r="AP66" i="58" s="1"/>
  <c r="AN107" i="58"/>
  <c r="AI107" i="58"/>
  <c r="AO60" i="58"/>
  <c r="AP60" i="58" s="1"/>
  <c r="AN58" i="58"/>
  <c r="AI58" i="58"/>
  <c r="AL96" i="58"/>
  <c r="AM96" i="58" s="1"/>
  <c r="AO86" i="58"/>
  <c r="AP86" i="58" s="1"/>
  <c r="AK86" i="58"/>
  <c r="AO174" i="58"/>
  <c r="AP174" i="58" s="1"/>
  <c r="AO170" i="58"/>
  <c r="AP170" i="58" s="1"/>
  <c r="AL163" i="58"/>
  <c r="AM163" i="58" s="1"/>
  <c r="AO28" i="58"/>
  <c r="AP28" i="58" s="1"/>
  <c r="AK28" i="58"/>
  <c r="AO16" i="58"/>
  <c r="AP16" i="58" s="1"/>
  <c r="AI11" i="58"/>
  <c r="AI174" i="58"/>
  <c r="AI170" i="58"/>
  <c r="AI164" i="58"/>
  <c r="AI162" i="58"/>
  <c r="AI125" i="58"/>
  <c r="AK36" i="58"/>
  <c r="AL62" i="58"/>
  <c r="AM62" i="58" s="1"/>
  <c r="AO61" i="58"/>
  <c r="AP61" i="58" s="1"/>
  <c r="AO15" i="58"/>
  <c r="AP15" i="58" s="1"/>
  <c r="AL99" i="58"/>
  <c r="AM99" i="58" s="1"/>
  <c r="AO131" i="58"/>
  <c r="AP131" i="58" s="1"/>
  <c r="AL128" i="58"/>
  <c r="AM128" i="58" s="1"/>
  <c r="AO43" i="58"/>
  <c r="AP43" i="58" s="1"/>
  <c r="AN39" i="58"/>
  <c r="AN105" i="58"/>
  <c r="AI105" i="58"/>
  <c r="AN60" i="58"/>
  <c r="AI60" i="58"/>
  <c r="AN8" i="58"/>
  <c r="AO8" i="58"/>
  <c r="AP8" i="58" s="1"/>
  <c r="AN173" i="58"/>
  <c r="AI173" i="58"/>
  <c r="AL173" i="58"/>
  <c r="AM173" i="58" s="1"/>
  <c r="AN166" i="58"/>
  <c r="AI166" i="58"/>
  <c r="AN165" i="58"/>
  <c r="AL165" i="58"/>
  <c r="AM165" i="58" s="1"/>
  <c r="AN151" i="58"/>
  <c r="AI151" i="58"/>
  <c r="AN129" i="58"/>
  <c r="AL129" i="58"/>
  <c r="AM129" i="58" s="1"/>
  <c r="AN124" i="58"/>
  <c r="AL124" i="58"/>
  <c r="AM124" i="58" s="1"/>
  <c r="AL51" i="58"/>
  <c r="AM51" i="58" s="1"/>
  <c r="AL108" i="58"/>
  <c r="AM108" i="58" s="1"/>
  <c r="AL105" i="58"/>
  <c r="AM105" i="58" s="1"/>
  <c r="AL102" i="58"/>
  <c r="AM102" i="58" s="1"/>
  <c r="AL60" i="58"/>
  <c r="AM60" i="58" s="1"/>
  <c r="AL55" i="58"/>
  <c r="AM55" i="58" s="1"/>
  <c r="AL100" i="58"/>
  <c r="AM100" i="58" s="1"/>
  <c r="AL103" i="58"/>
  <c r="AM103" i="58" s="1"/>
  <c r="AN91" i="58"/>
  <c r="AO91" i="58"/>
  <c r="AP91" i="58" s="1"/>
  <c r="AO87" i="58"/>
  <c r="AP87" i="58" s="1"/>
  <c r="AN98" i="58"/>
  <c r="AI98" i="58"/>
  <c r="AO98" i="58"/>
  <c r="AP98" i="58" s="1"/>
  <c r="AN95" i="58"/>
  <c r="AI95" i="58"/>
  <c r="AN174" i="58"/>
  <c r="AL174" i="58"/>
  <c r="AM174" i="58" s="1"/>
  <c r="AO173" i="58"/>
  <c r="AP173" i="58" s="1"/>
  <c r="AO166" i="58"/>
  <c r="AP166" i="58" s="1"/>
  <c r="AN160" i="58"/>
  <c r="AI160" i="58"/>
  <c r="AN152" i="58"/>
  <c r="AO152" i="58"/>
  <c r="AP152" i="58" s="1"/>
  <c r="AI152" i="58"/>
  <c r="AN145" i="58"/>
  <c r="AI145" i="58"/>
  <c r="AO145" i="58"/>
  <c r="AP145" i="58" s="1"/>
  <c r="AN136" i="58"/>
  <c r="AO136" i="58"/>
  <c r="AP136" i="58" s="1"/>
  <c r="AN161" i="58"/>
  <c r="AL161" i="58"/>
  <c r="AM161" i="58" s="1"/>
  <c r="AN130" i="58"/>
  <c r="AO130" i="58"/>
  <c r="AP130" i="58" s="1"/>
  <c r="AN121" i="58"/>
  <c r="AI121" i="58"/>
  <c r="AO121" i="58"/>
  <c r="AP121" i="58" s="1"/>
  <c r="AN120" i="58"/>
  <c r="AI120" i="58"/>
  <c r="AO38" i="58"/>
  <c r="AP38" i="58" s="1"/>
  <c r="AO53" i="58"/>
  <c r="AP53" i="58" s="1"/>
  <c r="AL45" i="58"/>
  <c r="AM45" i="58" s="1"/>
  <c r="AO44" i="58"/>
  <c r="AP44" i="58" s="1"/>
  <c r="AO109" i="58"/>
  <c r="AP109" i="58" s="1"/>
  <c r="AN89" i="58"/>
  <c r="AI89" i="58"/>
  <c r="AN86" i="58"/>
  <c r="AI86" i="58"/>
  <c r="AN14" i="58"/>
  <c r="AO14" i="58"/>
  <c r="AP14" i="58" s="1"/>
  <c r="AL5" i="58"/>
  <c r="AM5" i="58" s="1"/>
  <c r="AL95" i="58"/>
  <c r="AM95" i="58" s="1"/>
  <c r="AL82" i="58"/>
  <c r="AM82" i="58" s="1"/>
  <c r="AN78" i="58"/>
  <c r="AI78" i="58"/>
  <c r="AL65" i="58"/>
  <c r="AM65" i="58" s="1"/>
  <c r="AN168" i="58"/>
  <c r="AL168" i="58"/>
  <c r="AM168" i="58" s="1"/>
  <c r="AL167" i="58"/>
  <c r="AM167" i="58" s="1"/>
  <c r="AL166" i="58"/>
  <c r="AM166" i="58" s="1"/>
  <c r="AL160" i="58"/>
  <c r="AM160" i="58" s="1"/>
  <c r="AL152" i="58"/>
  <c r="AM152" i="58" s="1"/>
  <c r="AL151" i="58"/>
  <c r="AM151" i="58" s="1"/>
  <c r="AN133" i="58"/>
  <c r="AI133" i="58"/>
  <c r="AL133" i="58"/>
  <c r="AM133" i="58" s="1"/>
  <c r="AN127" i="58"/>
  <c r="AI127" i="58"/>
  <c r="AO126" i="58"/>
  <c r="AP126" i="58" s="1"/>
  <c r="AN126" i="58"/>
  <c r="AL126" i="58"/>
  <c r="AM126" i="58" s="1"/>
  <c r="AL120" i="58"/>
  <c r="AM120" i="58" s="1"/>
  <c r="AN35" i="58"/>
  <c r="AO30" i="58"/>
  <c r="AP30" i="58" s="1"/>
  <c r="AL64" i="58"/>
  <c r="AM64" i="58" s="1"/>
  <c r="AO63" i="58"/>
  <c r="AP63" i="58" s="1"/>
  <c r="AI57" i="58"/>
  <c r="AI53" i="58"/>
  <c r="AO49" i="58"/>
  <c r="AP49" i="58" s="1"/>
  <c r="AI44" i="58"/>
  <c r="AL111" i="58"/>
  <c r="AM111" i="58" s="1"/>
  <c r="AO101" i="58"/>
  <c r="AP101" i="58" s="1"/>
  <c r="AI94" i="58"/>
  <c r="AI109" i="58"/>
  <c r="AO104" i="58"/>
  <c r="AP104" i="58" s="1"/>
  <c r="AO102" i="58"/>
  <c r="AP102" i="58" s="1"/>
  <c r="AI102" i="58"/>
  <c r="AI8" i="58"/>
  <c r="AI100" i="58"/>
  <c r="AN61" i="58"/>
  <c r="AI61" i="58"/>
  <c r="AO103" i="58"/>
  <c r="AP103" i="58" s="1"/>
  <c r="AI103" i="58"/>
  <c r="AN93" i="58"/>
  <c r="AL93" i="58"/>
  <c r="AM93" i="58" s="1"/>
  <c r="AL89" i="58"/>
  <c r="AM89" i="58" s="1"/>
  <c r="AL87" i="58"/>
  <c r="AM87" i="58" s="1"/>
  <c r="AL86" i="58"/>
  <c r="AM86" i="58" s="1"/>
  <c r="AL81" i="58"/>
  <c r="AM81" i="58" s="1"/>
  <c r="AL13" i="58"/>
  <c r="AM13" i="58" s="1"/>
  <c r="AN147" i="58"/>
  <c r="AI147" i="58"/>
  <c r="AL98" i="58"/>
  <c r="AM98" i="58" s="1"/>
  <c r="AN79" i="58"/>
  <c r="AO79" i="58"/>
  <c r="AP79" i="58" s="1"/>
  <c r="AI79" i="58"/>
  <c r="AN12" i="58"/>
  <c r="AI12" i="58"/>
  <c r="AO12" i="58"/>
  <c r="AP12" i="58" s="1"/>
  <c r="AN9" i="58"/>
  <c r="AO9" i="58"/>
  <c r="AP9" i="58" s="1"/>
  <c r="AN176" i="58"/>
  <c r="AI176" i="58"/>
  <c r="AL176" i="58"/>
  <c r="AM176" i="58" s="1"/>
  <c r="AN171" i="58"/>
  <c r="AL171" i="58"/>
  <c r="AM171" i="58" s="1"/>
  <c r="AN169" i="58"/>
  <c r="AO169" i="58"/>
  <c r="AP169" i="58" s="1"/>
  <c r="AI165" i="58"/>
  <c r="AN158" i="58"/>
  <c r="AI158" i="58"/>
  <c r="AO158" i="58"/>
  <c r="AP158" i="58" s="1"/>
  <c r="AN157" i="58"/>
  <c r="AI157" i="58"/>
  <c r="AI155" i="58"/>
  <c r="AL145" i="58"/>
  <c r="AM145" i="58" s="1"/>
  <c r="AO134" i="58"/>
  <c r="AP134" i="58" s="1"/>
  <c r="AN134" i="58"/>
  <c r="AL134" i="58"/>
  <c r="AM134" i="58" s="1"/>
  <c r="AO133" i="58"/>
  <c r="AP133" i="58" s="1"/>
  <c r="AI129" i="58"/>
  <c r="AO127" i="58"/>
  <c r="AP127" i="58" s="1"/>
  <c r="AL121" i="58"/>
  <c r="AM121" i="58" s="1"/>
  <c r="AO118" i="58"/>
  <c r="AP118" i="58" s="1"/>
  <c r="AO80" i="58"/>
  <c r="AP80" i="58" s="1"/>
  <c r="AO76" i="58"/>
  <c r="AP76" i="58" s="1"/>
  <c r="AK43" i="58"/>
  <c r="AO42" i="58"/>
  <c r="AP42" i="58" s="1"/>
  <c r="AN27" i="58"/>
  <c r="AO22" i="58"/>
  <c r="AP22" i="58" s="1"/>
  <c r="AO20" i="58"/>
  <c r="AP20" i="58" s="1"/>
  <c r="AN6" i="58"/>
  <c r="AO6" i="58"/>
  <c r="AP6" i="58" s="1"/>
  <c r="AN16" i="58"/>
  <c r="AI16" i="58"/>
  <c r="AN10" i="58"/>
  <c r="AL10" i="58"/>
  <c r="AM10" i="58" s="1"/>
  <c r="AN163" i="58"/>
  <c r="AO163" i="58"/>
  <c r="AP163" i="58" s="1"/>
  <c r="AN146" i="58"/>
  <c r="AI146" i="58"/>
  <c r="AN137" i="58"/>
  <c r="AL137" i="58"/>
  <c r="AM137" i="58" s="1"/>
  <c r="AN123" i="58"/>
  <c r="AO123" i="58"/>
  <c r="AP123" i="58" s="1"/>
  <c r="AO116" i="58"/>
  <c r="AP116" i="58" s="1"/>
  <c r="AO72" i="58"/>
  <c r="AP72" i="58" s="1"/>
  <c r="AO40" i="58"/>
  <c r="AP40" i="58" s="1"/>
  <c r="AO32" i="58"/>
  <c r="AP32" i="58" s="1"/>
  <c r="AO24" i="58"/>
  <c r="AP24" i="58" s="1"/>
  <c r="AI117" i="58"/>
  <c r="AL117" i="58"/>
  <c r="AM117" i="58" s="1"/>
  <c r="AI80" i="58"/>
  <c r="AL80" i="58"/>
  <c r="AM80" i="58" s="1"/>
  <c r="AI74" i="58"/>
  <c r="AL74" i="58"/>
  <c r="AM74" i="58" s="1"/>
  <c r="AI67" i="58"/>
  <c r="AL67" i="58"/>
  <c r="AM67" i="58" s="1"/>
  <c r="AI42" i="58"/>
  <c r="AL42" i="58"/>
  <c r="AM42" i="58" s="1"/>
  <c r="AI38" i="58"/>
  <c r="AL38" i="58"/>
  <c r="AM38" i="58" s="1"/>
  <c r="AI34" i="58"/>
  <c r="AL34" i="58"/>
  <c r="AM34" i="58" s="1"/>
  <c r="AI30" i="58"/>
  <c r="AL30" i="58"/>
  <c r="AM30" i="58" s="1"/>
  <c r="AI26" i="58"/>
  <c r="AL26" i="58"/>
  <c r="AM26" i="58" s="1"/>
  <c r="AI22" i="58"/>
  <c r="AL22" i="58"/>
  <c r="AM22" i="58" s="1"/>
  <c r="AI18" i="58"/>
  <c r="AL18" i="58"/>
  <c r="AM18" i="58" s="1"/>
  <c r="AI17" i="58"/>
  <c r="AO17" i="58"/>
  <c r="AP17" i="58" s="1"/>
  <c r="AN117" i="58"/>
  <c r="AN80" i="58"/>
  <c r="AI77" i="58"/>
  <c r="AO77" i="58"/>
  <c r="AP77" i="58" s="1"/>
  <c r="AN74" i="58"/>
  <c r="AI73" i="58"/>
  <c r="AO73" i="58"/>
  <c r="AP73" i="58" s="1"/>
  <c r="AN67" i="58"/>
  <c r="AI46" i="58"/>
  <c r="AO46" i="58"/>
  <c r="AP46" i="58" s="1"/>
  <c r="AN42" i="58"/>
  <c r="AI41" i="58"/>
  <c r="AO41" i="58"/>
  <c r="AP41" i="58" s="1"/>
  <c r="AN38" i="58"/>
  <c r="AI37" i="58"/>
  <c r="AO37" i="58"/>
  <c r="AP37" i="58" s="1"/>
  <c r="AN34" i="58"/>
  <c r="AI33" i="58"/>
  <c r="AO33" i="58"/>
  <c r="AP33" i="58" s="1"/>
  <c r="AN30" i="58"/>
  <c r="AI29" i="58"/>
  <c r="AO29" i="58"/>
  <c r="AP29" i="58" s="1"/>
  <c r="AN26" i="58"/>
  <c r="AI25" i="58"/>
  <c r="AO25" i="58"/>
  <c r="AP25" i="58" s="1"/>
  <c r="AN22" i="58"/>
  <c r="AI21" i="58"/>
  <c r="AO21" i="58"/>
  <c r="AP21" i="58" s="1"/>
  <c r="AN18" i="58"/>
  <c r="AL17" i="58"/>
  <c r="AM17" i="58" s="1"/>
  <c r="AO64" i="58"/>
  <c r="AP64" i="58" s="1"/>
  <c r="AO56" i="58"/>
  <c r="AP56" i="58" s="1"/>
  <c r="AO51" i="58"/>
  <c r="AP51" i="58" s="1"/>
  <c r="AO45" i="58"/>
  <c r="AP45" i="58" s="1"/>
  <c r="AO111" i="58"/>
  <c r="AP111" i="58" s="1"/>
  <c r="AO84" i="58"/>
  <c r="AP84" i="58" s="1"/>
  <c r="AO108" i="58"/>
  <c r="AP108" i="58" s="1"/>
  <c r="AO106" i="58"/>
  <c r="AP106" i="58" s="1"/>
  <c r="AO55" i="58"/>
  <c r="AP55" i="58" s="1"/>
  <c r="AO62" i="58"/>
  <c r="AP62" i="58" s="1"/>
  <c r="AO93" i="58"/>
  <c r="AP93" i="58" s="1"/>
  <c r="AO88" i="58"/>
  <c r="AP88" i="58" s="1"/>
  <c r="AO81" i="58"/>
  <c r="AP81" i="58" s="1"/>
  <c r="AO5" i="58"/>
  <c r="AP5" i="58" s="1"/>
  <c r="AO99" i="58"/>
  <c r="AP99" i="58" s="1"/>
  <c r="AO82" i="58"/>
  <c r="AP82" i="58" s="1"/>
  <c r="AO65" i="58"/>
  <c r="AP65" i="58" s="1"/>
  <c r="AO10" i="58"/>
  <c r="AP10" i="58" s="1"/>
  <c r="AO175" i="58"/>
  <c r="AP175" i="58" s="1"/>
  <c r="AO171" i="58"/>
  <c r="AP171" i="58" s="1"/>
  <c r="AO167" i="58"/>
  <c r="AP167" i="58" s="1"/>
  <c r="AO159" i="58"/>
  <c r="AP159" i="58" s="1"/>
  <c r="AO154" i="58"/>
  <c r="AP154" i="58" s="1"/>
  <c r="AO150" i="58"/>
  <c r="AP150" i="58" s="1"/>
  <c r="AO137" i="58"/>
  <c r="AP137" i="58" s="1"/>
  <c r="AO135" i="58"/>
  <c r="AP135" i="58" s="1"/>
  <c r="AO161" i="58"/>
  <c r="AP161" i="58" s="1"/>
  <c r="AO128" i="58"/>
  <c r="AP128" i="58" s="1"/>
  <c r="AO124" i="58"/>
  <c r="AP124" i="58" s="1"/>
  <c r="AO122" i="58"/>
  <c r="AP122" i="58" s="1"/>
  <c r="AI116" i="58"/>
  <c r="AL116" i="58"/>
  <c r="AM116" i="58" s="1"/>
  <c r="AL77" i="58"/>
  <c r="AM77" i="58" s="1"/>
  <c r="AI76" i="58"/>
  <c r="AL76" i="58"/>
  <c r="AM76" i="58" s="1"/>
  <c r="AL73" i="58"/>
  <c r="AM73" i="58" s="1"/>
  <c r="AI72" i="58"/>
  <c r="AL72" i="58"/>
  <c r="AM72" i="58" s="1"/>
  <c r="AL46" i="58"/>
  <c r="AM46" i="58" s="1"/>
  <c r="AI43" i="58"/>
  <c r="AL43" i="58"/>
  <c r="AM43" i="58" s="1"/>
  <c r="AL41" i="58"/>
  <c r="AM41" i="58" s="1"/>
  <c r="AI40" i="58"/>
  <c r="AL40" i="58"/>
  <c r="AM40" i="58" s="1"/>
  <c r="AL37" i="58"/>
  <c r="AM37" i="58" s="1"/>
  <c r="AI36" i="58"/>
  <c r="AL36" i="58"/>
  <c r="AM36" i="58" s="1"/>
  <c r="AL33" i="58"/>
  <c r="AM33" i="58" s="1"/>
  <c r="AI32" i="58"/>
  <c r="AL32" i="58"/>
  <c r="AM32" i="58" s="1"/>
  <c r="AL29" i="58"/>
  <c r="AM29" i="58" s="1"/>
  <c r="AI28" i="58"/>
  <c r="AL28" i="58"/>
  <c r="AM28" i="58" s="1"/>
  <c r="AL25" i="58"/>
  <c r="AM25" i="58" s="1"/>
  <c r="AI24" i="58"/>
  <c r="AL24" i="58"/>
  <c r="AM24" i="58" s="1"/>
  <c r="AL21" i="58"/>
  <c r="AM21" i="58" s="1"/>
  <c r="AI20" i="58"/>
  <c r="AL20" i="58"/>
  <c r="AM20" i="58" s="1"/>
  <c r="AO68" i="58"/>
  <c r="AP68" i="58" s="1"/>
  <c r="AI64" i="58"/>
  <c r="AO57" i="58"/>
  <c r="AP57" i="58" s="1"/>
  <c r="AI56" i="58"/>
  <c r="AO52" i="58"/>
  <c r="AP52" i="58" s="1"/>
  <c r="AI51" i="58"/>
  <c r="AO47" i="58"/>
  <c r="AP47" i="58" s="1"/>
  <c r="AI45" i="58"/>
  <c r="AO149" i="58"/>
  <c r="AP149" i="58" s="1"/>
  <c r="AI111" i="58"/>
  <c r="AO94" i="58"/>
  <c r="AP94" i="58" s="1"/>
  <c r="AI84" i="58"/>
  <c r="AO107" i="58"/>
  <c r="AP107" i="58" s="1"/>
  <c r="AI108" i="58"/>
  <c r="AO105" i="58"/>
  <c r="AP105" i="58" s="1"/>
  <c r="AI106" i="58"/>
  <c r="AO58" i="58"/>
  <c r="AP58" i="58" s="1"/>
  <c r="AI55" i="58"/>
  <c r="AO100" i="58"/>
  <c r="AP100" i="58" s="1"/>
  <c r="AI62" i="58"/>
  <c r="AO96" i="58"/>
  <c r="AP96" i="58" s="1"/>
  <c r="AI93" i="58"/>
  <c r="AO89" i="58"/>
  <c r="AP89" i="58" s="1"/>
  <c r="AI88" i="58"/>
  <c r="AO85" i="58"/>
  <c r="AP85" i="58" s="1"/>
  <c r="AI81" i="58"/>
  <c r="AO13" i="58"/>
  <c r="AP13" i="58" s="1"/>
  <c r="AI5" i="58"/>
  <c r="AO147" i="58"/>
  <c r="AP147" i="58" s="1"/>
  <c r="AI99" i="58"/>
  <c r="AO83" i="58"/>
  <c r="AP83" i="58" s="1"/>
  <c r="AI82" i="58"/>
  <c r="AO78" i="58"/>
  <c r="AP78" i="58" s="1"/>
  <c r="AI65" i="58"/>
  <c r="AO11" i="58"/>
  <c r="AP11" i="58" s="1"/>
  <c r="AI10" i="58"/>
  <c r="AO176" i="58"/>
  <c r="AP176" i="58" s="1"/>
  <c r="AI175" i="58"/>
  <c r="AO172" i="58"/>
  <c r="AP172" i="58" s="1"/>
  <c r="AI171" i="58"/>
  <c r="AO168" i="58"/>
  <c r="AP168" i="58" s="1"/>
  <c r="AI167" i="58"/>
  <c r="AO164" i="58"/>
  <c r="AP164" i="58" s="1"/>
  <c r="AO160" i="58"/>
  <c r="AP160" i="58" s="1"/>
  <c r="AI159" i="58"/>
  <c r="AO155" i="58"/>
  <c r="AP155" i="58" s="1"/>
  <c r="AI154" i="58"/>
  <c r="AO151" i="58"/>
  <c r="AP151" i="58" s="1"/>
  <c r="AI150" i="58"/>
  <c r="AO144" i="58"/>
  <c r="AP144" i="58" s="1"/>
  <c r="AI137" i="58"/>
  <c r="AI135" i="58"/>
  <c r="AO132" i="58"/>
  <c r="AP132" i="58" s="1"/>
  <c r="AI161" i="58"/>
  <c r="AO129" i="58"/>
  <c r="AP129" i="58" s="1"/>
  <c r="AI128" i="58"/>
  <c r="AO125" i="58"/>
  <c r="AP125" i="58" s="1"/>
  <c r="AI124" i="58"/>
  <c r="AI122" i="58"/>
  <c r="AO119" i="58"/>
  <c r="AP119" i="58" s="1"/>
  <c r="AI118" i="58"/>
  <c r="AN118" i="58"/>
  <c r="AN116" i="58"/>
  <c r="AI115" i="58"/>
  <c r="AO115" i="58"/>
  <c r="AP115" i="58" s="1"/>
  <c r="AN76" i="58"/>
  <c r="AI75" i="58"/>
  <c r="AO75" i="58"/>
  <c r="AP75" i="58" s="1"/>
  <c r="AN72" i="58"/>
  <c r="AI156" i="58"/>
  <c r="AO156" i="58"/>
  <c r="AP156" i="58" s="1"/>
  <c r="AN43" i="58"/>
  <c r="AN40" i="58"/>
  <c r="AI39" i="58"/>
  <c r="AO39" i="58"/>
  <c r="AP39" i="58" s="1"/>
  <c r="AN36" i="58"/>
  <c r="AI35" i="58"/>
  <c r="AO35" i="58"/>
  <c r="AP35" i="58" s="1"/>
  <c r="AN32" i="58"/>
  <c r="AI31" i="58"/>
  <c r="AO31" i="58"/>
  <c r="AP31" i="58" s="1"/>
  <c r="AN28" i="58"/>
  <c r="AI27" i="58"/>
  <c r="AO27" i="58"/>
  <c r="AP27" i="58" s="1"/>
  <c r="AN24" i="58"/>
  <c r="AI23" i="58"/>
  <c r="AO23" i="58"/>
  <c r="AP23" i="58" s="1"/>
  <c r="AN20" i="58"/>
  <c r="AI19" i="58"/>
  <c r="AO19" i="58"/>
  <c r="AP19" i="58" s="1"/>
  <c r="W84" i="58"/>
  <c r="BC84" i="58"/>
  <c r="BD84" i="58" s="1"/>
  <c r="D20" i="65" l="1"/>
  <c r="F20" i="65" s="1"/>
  <c r="D21" i="65"/>
  <c r="F21" i="65" s="1"/>
  <c r="D21" i="57"/>
  <c r="E21" i="57" s="1"/>
  <c r="CM69" i="58"/>
  <c r="CK69" i="58"/>
  <c r="CH69" i="58"/>
  <c r="CB69" i="58"/>
  <c r="CE69" i="58" s="1"/>
  <c r="CF69" i="58" s="1"/>
  <c r="CG69" i="58" s="1"/>
  <c r="BV69" i="58"/>
  <c r="BU69" i="58"/>
  <c r="BS69" i="58"/>
  <c r="BQ69" i="58"/>
  <c r="BO69" i="58"/>
  <c r="BP69" i="58" s="1"/>
  <c r="BL69" i="58"/>
  <c r="BK69" i="58"/>
  <c r="BG69" i="58"/>
  <c r="BH69" i="58" s="1"/>
  <c r="BC69" i="58"/>
  <c r="BD69" i="58" s="1"/>
  <c r="W69" i="58"/>
  <c r="P69" i="58"/>
  <c r="CM68" i="58"/>
  <c r="CK68" i="58"/>
  <c r="CH68" i="58"/>
  <c r="CB68" i="58"/>
  <c r="CE68" i="58" s="1"/>
  <c r="CF68" i="58" s="1"/>
  <c r="CG68" i="58" s="1"/>
  <c r="BV68" i="58"/>
  <c r="BU68" i="58"/>
  <c r="BS68" i="58"/>
  <c r="BQ68" i="58"/>
  <c r="BO68" i="58"/>
  <c r="BP68" i="58" s="1"/>
  <c r="BL68" i="58"/>
  <c r="BK68" i="58"/>
  <c r="BG68" i="58"/>
  <c r="BH68" i="58" s="1"/>
  <c r="BC68" i="58"/>
  <c r="W68" i="58"/>
  <c r="P68" i="58"/>
  <c r="BE68" i="58" l="1"/>
  <c r="BF68" i="58" s="1"/>
  <c r="BD68" i="58"/>
  <c r="BE69" i="58"/>
  <c r="BF69" i="58" s="1"/>
  <c r="F9" i="57" l="1"/>
  <c r="CM71" i="58" l="1"/>
  <c r="CK71" i="58"/>
  <c r="CB71" i="58"/>
  <c r="CE71" i="58" s="1"/>
  <c r="CF71" i="58" s="1"/>
  <c r="CG71" i="58" s="1"/>
  <c r="BV71" i="58"/>
  <c r="BU71" i="58"/>
  <c r="BS71" i="58"/>
  <c r="BQ71" i="58"/>
  <c r="BO71" i="58"/>
  <c r="BP71" i="58" s="1"/>
  <c r="BL71" i="58"/>
  <c r="BK71" i="58"/>
  <c r="BG71" i="58"/>
  <c r="BH71" i="58" s="1"/>
  <c r="BC71" i="58"/>
  <c r="AS71" i="58"/>
  <c r="AR71" i="58"/>
  <c r="AQ71" i="58"/>
  <c r="AJ71" i="58"/>
  <c r="AK71" i="58" s="1"/>
  <c r="AH71" i="58"/>
  <c r="W71" i="58"/>
  <c r="BE71" i="58" l="1"/>
  <c r="BF71" i="58" s="1"/>
  <c r="BD71" i="58"/>
  <c r="AO71" i="58"/>
  <c r="AP71" i="58" s="1"/>
  <c r="AL71" i="58"/>
  <c r="AM71" i="58" s="1"/>
  <c r="D19" i="65" s="1"/>
  <c r="AN71" i="58"/>
  <c r="AI71" i="58"/>
  <c r="N58" i="63"/>
  <c r="K58" i="63"/>
  <c r="D18" i="65" l="1"/>
  <c r="G18" i="65" s="1"/>
  <c r="F19" i="65"/>
  <c r="F18" i="65" s="1"/>
  <c r="H18" i="65" s="1"/>
  <c r="F10" i="57"/>
  <c r="C12" i="57"/>
  <c r="CM70" i="58" l="1"/>
  <c r="CB70" i="58"/>
  <c r="CE70" i="58" s="1"/>
  <c r="CF70" i="58" s="1"/>
  <c r="CG70" i="58" s="1"/>
  <c r="BV143" i="58"/>
  <c r="BU143" i="58"/>
  <c r="BV70" i="58"/>
  <c r="BU70" i="58"/>
  <c r="BV64" i="58"/>
  <c r="BU64" i="58"/>
  <c r="BV63" i="58"/>
  <c r="BU63" i="58"/>
  <c r="BV59" i="58"/>
  <c r="BU59" i="58"/>
  <c r="BV57" i="58"/>
  <c r="BU57" i="58"/>
  <c r="BV56" i="58"/>
  <c r="BU56" i="58"/>
  <c r="BV54" i="58"/>
  <c r="BU54" i="58"/>
  <c r="BV53" i="58"/>
  <c r="BU53" i="58"/>
  <c r="BV52" i="58"/>
  <c r="BU52" i="58"/>
  <c r="BV51" i="58"/>
  <c r="BU51" i="58"/>
  <c r="BV50" i="58"/>
  <c r="BU50" i="58"/>
  <c r="BV49" i="58"/>
  <c r="BU49" i="58"/>
  <c r="BV47" i="58"/>
  <c r="BU47" i="58"/>
  <c r="BS143" i="58"/>
  <c r="BS70" i="58"/>
  <c r="BS64" i="58"/>
  <c r="BS63" i="58"/>
  <c r="BS59" i="58"/>
  <c r="BS57" i="58"/>
  <c r="BS56" i="58"/>
  <c r="BS54" i="58"/>
  <c r="BS53" i="58"/>
  <c r="BS52" i="58"/>
  <c r="BS51" i="58"/>
  <c r="BS50" i="58"/>
  <c r="BS49" i="58"/>
  <c r="BS47" i="58"/>
  <c r="BS45" i="58"/>
  <c r="BQ143" i="58"/>
  <c r="BO143" i="58"/>
  <c r="BP143" i="58" s="1"/>
  <c r="BQ70" i="58"/>
  <c r="BO70" i="58"/>
  <c r="BP70" i="58" s="1"/>
  <c r="BQ64" i="58"/>
  <c r="BO64" i="58"/>
  <c r="BP64" i="58" s="1"/>
  <c r="BQ63" i="58"/>
  <c r="BO63" i="58"/>
  <c r="BP63" i="58" s="1"/>
  <c r="BQ59" i="58"/>
  <c r="BO59" i="58"/>
  <c r="BP59" i="58" s="1"/>
  <c r="BQ57" i="58"/>
  <c r="BO57" i="58"/>
  <c r="BP57" i="58" s="1"/>
  <c r="BQ56" i="58"/>
  <c r="BO56" i="58"/>
  <c r="BP56" i="58" s="1"/>
  <c r="BQ54" i="58"/>
  <c r="BO54" i="58"/>
  <c r="BP54" i="58" s="1"/>
  <c r="BQ53" i="58"/>
  <c r="BO53" i="58"/>
  <c r="BP53" i="58" s="1"/>
  <c r="BQ52" i="58"/>
  <c r="BO52" i="58"/>
  <c r="BP52" i="58" s="1"/>
  <c r="BQ51" i="58"/>
  <c r="BO51" i="58"/>
  <c r="BP51" i="58" s="1"/>
  <c r="BQ50" i="58"/>
  <c r="BO50" i="58"/>
  <c r="BP50" i="58" s="1"/>
  <c r="BQ49" i="58"/>
  <c r="BO49" i="58"/>
  <c r="BP49" i="58" s="1"/>
  <c r="BQ47" i="58"/>
  <c r="BO47" i="58"/>
  <c r="BP47" i="58" s="1"/>
  <c r="BG143" i="58"/>
  <c r="BH143" i="58" s="1"/>
  <c r="BC143" i="58"/>
  <c r="BD143" i="58" s="1"/>
  <c r="BH142" i="58"/>
  <c r="BG70" i="58"/>
  <c r="BH70" i="58" s="1"/>
  <c r="BC70" i="58"/>
  <c r="BD70" i="58" s="1"/>
  <c r="BG64" i="58"/>
  <c r="BH64" i="58" s="1"/>
  <c r="BC64" i="58"/>
  <c r="BD64" i="58" s="1"/>
  <c r="BG63" i="58"/>
  <c r="BH63" i="58" s="1"/>
  <c r="BC63" i="58"/>
  <c r="BD63" i="58" s="1"/>
  <c r="BG59" i="58"/>
  <c r="BH59" i="58" s="1"/>
  <c r="BC59" i="58"/>
  <c r="BD59" i="58" s="1"/>
  <c r="BG57" i="58"/>
  <c r="BH57" i="58" s="1"/>
  <c r="BC57" i="58"/>
  <c r="BD57" i="58" s="1"/>
  <c r="BG56" i="58"/>
  <c r="BH56" i="58" s="1"/>
  <c r="BC56" i="58"/>
  <c r="BD56" i="58" s="1"/>
  <c r="BG54" i="58"/>
  <c r="BH54" i="58" s="1"/>
  <c r="BC54" i="58"/>
  <c r="BD54" i="58" s="1"/>
  <c r="BG53" i="58"/>
  <c r="BH53" i="58" s="1"/>
  <c r="BC53" i="58"/>
  <c r="BD53" i="58" s="1"/>
  <c r="BG52" i="58"/>
  <c r="BH52" i="58" s="1"/>
  <c r="BC52" i="58"/>
  <c r="BD52" i="58" s="1"/>
  <c r="BG51" i="58"/>
  <c r="BH51" i="58" s="1"/>
  <c r="BC51" i="58"/>
  <c r="BD51" i="58" s="1"/>
  <c r="BG50" i="58"/>
  <c r="BH50" i="58" s="1"/>
  <c r="BC50" i="58"/>
  <c r="BD50" i="58" s="1"/>
  <c r="BG49" i="58"/>
  <c r="BH49" i="58" s="1"/>
  <c r="BC49" i="58"/>
  <c r="BD49" i="58" s="1"/>
  <c r="BG47" i="58"/>
  <c r="BH47" i="58" s="1"/>
  <c r="BC47" i="58"/>
  <c r="BD47" i="58" s="1"/>
  <c r="BC45" i="58"/>
  <c r="BQ45" i="58"/>
  <c r="BQ44" i="58"/>
  <c r="BQ92" i="58"/>
  <c r="BQ149" i="58"/>
  <c r="BQ111" i="58"/>
  <c r="BQ101" i="58"/>
  <c r="BQ97" i="58"/>
  <c r="BQ94" i="58"/>
  <c r="BQ84" i="58"/>
  <c r="BQ66" i="58"/>
  <c r="BQ109" i="58"/>
  <c r="BQ107" i="58"/>
  <c r="BQ108" i="58"/>
  <c r="BQ110" i="58"/>
  <c r="BQ104" i="58"/>
  <c r="BQ105" i="58"/>
  <c r="BQ106" i="58"/>
  <c r="BQ102" i="58"/>
  <c r="BQ60" i="58"/>
  <c r="BQ58" i="58"/>
  <c r="BQ55" i="58"/>
  <c r="BQ48" i="58"/>
  <c r="BQ8" i="58"/>
  <c r="BQ100" i="58"/>
  <c r="BQ62" i="58"/>
  <c r="BQ61" i="58"/>
  <c r="BQ103" i="58"/>
  <c r="BQ96" i="58"/>
  <c r="BQ93" i="58"/>
  <c r="BQ91" i="58"/>
  <c r="BQ90" i="58"/>
  <c r="BQ89" i="58"/>
  <c r="BQ88" i="58"/>
  <c r="BQ87" i="58"/>
  <c r="BQ86" i="58"/>
  <c r="BQ85" i="58"/>
  <c r="BQ81" i="58"/>
  <c r="BQ15" i="58"/>
  <c r="BQ14" i="58"/>
  <c r="BQ13" i="58"/>
  <c r="BQ5" i="58"/>
  <c r="BQ6" i="58"/>
  <c r="BQ148" i="58"/>
  <c r="BQ147" i="58"/>
  <c r="BQ99" i="58"/>
  <c r="BQ98" i="58"/>
  <c r="BQ95" i="58"/>
  <c r="BQ83" i="58"/>
  <c r="BQ82" i="58"/>
  <c r="BQ79" i="58"/>
  <c r="BQ78" i="58"/>
  <c r="BQ65" i="58"/>
  <c r="BQ16" i="58"/>
  <c r="BQ12" i="58"/>
  <c r="BQ11" i="58"/>
  <c r="BQ10" i="58"/>
  <c r="BQ9" i="58"/>
  <c r="BQ7" i="58"/>
  <c r="BQ176" i="58"/>
  <c r="BQ175" i="58"/>
  <c r="BQ174" i="58"/>
  <c r="BQ173" i="58"/>
  <c r="BQ172" i="58"/>
  <c r="BQ171" i="58"/>
  <c r="BQ170" i="58"/>
  <c r="BQ169" i="58"/>
  <c r="BQ168" i="58"/>
  <c r="BQ167" i="58"/>
  <c r="BQ166" i="58"/>
  <c r="BQ165" i="58"/>
  <c r="BQ164" i="58"/>
  <c r="BQ163" i="58"/>
  <c r="BQ162" i="58"/>
  <c r="BQ160" i="58"/>
  <c r="BQ159" i="58"/>
  <c r="BQ158" i="58"/>
  <c r="BQ157" i="58"/>
  <c r="BQ155" i="58"/>
  <c r="BQ154" i="58"/>
  <c r="BQ153" i="58"/>
  <c r="BQ152" i="58"/>
  <c r="BQ151" i="58"/>
  <c r="BQ150" i="58"/>
  <c r="BQ146" i="58"/>
  <c r="BQ145" i="58"/>
  <c r="BQ144" i="58"/>
  <c r="BQ137" i="58"/>
  <c r="BQ136" i="58"/>
  <c r="BQ135" i="58"/>
  <c r="BQ134" i="58"/>
  <c r="BQ133" i="58"/>
  <c r="BQ132" i="58"/>
  <c r="BQ161" i="58"/>
  <c r="BQ131" i="58"/>
  <c r="BQ130" i="58"/>
  <c r="BQ129" i="58"/>
  <c r="BQ128" i="58"/>
  <c r="BQ127" i="58"/>
  <c r="BQ126" i="58"/>
  <c r="BQ125" i="58"/>
  <c r="BQ124" i="58"/>
  <c r="BQ123" i="58"/>
  <c r="BQ122" i="58"/>
  <c r="BQ121" i="58"/>
  <c r="BQ120" i="58"/>
  <c r="BQ119" i="58"/>
  <c r="BQ118" i="58"/>
  <c r="BQ117" i="58"/>
  <c r="BQ116" i="58"/>
  <c r="BQ115" i="58"/>
  <c r="BQ80" i="58"/>
  <c r="BQ77" i="58"/>
  <c r="BQ76" i="58"/>
  <c r="BQ75" i="58"/>
  <c r="BQ74" i="58"/>
  <c r="BQ73" i="58"/>
  <c r="BQ72" i="58"/>
  <c r="BQ156" i="58"/>
  <c r="BQ67" i="58"/>
  <c r="BQ46" i="58"/>
  <c r="BQ43" i="58"/>
  <c r="BQ42" i="58"/>
  <c r="BQ41" i="58"/>
  <c r="BQ40" i="58"/>
  <c r="BQ39" i="58"/>
  <c r="BQ38" i="58"/>
  <c r="BQ37" i="58"/>
  <c r="BQ36" i="58"/>
  <c r="BQ35" i="58"/>
  <c r="BQ34" i="58"/>
  <c r="BQ33" i="58"/>
  <c r="BQ32" i="58"/>
  <c r="BQ31" i="58"/>
  <c r="BQ30" i="58"/>
  <c r="BQ29" i="58"/>
  <c r="BQ28" i="58"/>
  <c r="BQ27" i="58"/>
  <c r="BQ26" i="58"/>
  <c r="BQ25" i="58"/>
  <c r="BQ24" i="58"/>
  <c r="BQ23" i="58"/>
  <c r="BQ22" i="58"/>
  <c r="BQ21" i="58"/>
  <c r="BQ20" i="58"/>
  <c r="BQ19" i="58"/>
  <c r="BQ18" i="58"/>
  <c r="BQ17" i="58"/>
  <c r="AS70" i="58"/>
  <c r="AR70" i="58"/>
  <c r="AQ70" i="58"/>
  <c r="AJ70" i="58"/>
  <c r="AK70" i="58" s="1"/>
  <c r="AH70" i="58"/>
  <c r="W70" i="58"/>
  <c r="W17" i="58"/>
  <c r="W18" i="58"/>
  <c r="W19" i="58"/>
  <c r="W20" i="58"/>
  <c r="W21" i="58"/>
  <c r="W22" i="58"/>
  <c r="W23" i="58"/>
  <c r="W24" i="58"/>
  <c r="W25" i="58"/>
  <c r="W26" i="58"/>
  <c r="W27" i="58"/>
  <c r="W28" i="58"/>
  <c r="W29" i="58"/>
  <c r="W30" i="58"/>
  <c r="W31" i="58"/>
  <c r="W32" i="58"/>
  <c r="W33" i="58"/>
  <c r="W34" i="58"/>
  <c r="W35" i="58"/>
  <c r="W36" i="58"/>
  <c r="W37" i="58"/>
  <c r="W38" i="58"/>
  <c r="W39" i="58"/>
  <c r="W40" i="58"/>
  <c r="W41" i="58"/>
  <c r="W42" i="58"/>
  <c r="W43" i="58"/>
  <c r="W46" i="58"/>
  <c r="W67" i="58"/>
  <c r="W156" i="58"/>
  <c r="W72" i="58"/>
  <c r="W73" i="58"/>
  <c r="W74" i="58"/>
  <c r="W75" i="58"/>
  <c r="W76" i="58"/>
  <c r="W77" i="58"/>
  <c r="W80" i="58"/>
  <c r="W115" i="58"/>
  <c r="W116" i="58"/>
  <c r="W117" i="58"/>
  <c r="W118" i="58"/>
  <c r="W119" i="58"/>
  <c r="W120" i="58"/>
  <c r="W121" i="58"/>
  <c r="W122" i="58"/>
  <c r="W123" i="58"/>
  <c r="W124" i="58"/>
  <c r="W125" i="58"/>
  <c r="W126" i="58"/>
  <c r="W127" i="58"/>
  <c r="W128" i="58"/>
  <c r="W129" i="58"/>
  <c r="W130" i="58"/>
  <c r="W131" i="58"/>
  <c r="W161" i="58"/>
  <c r="W132" i="58"/>
  <c r="W133" i="58"/>
  <c r="W134" i="58"/>
  <c r="W135" i="58"/>
  <c r="W136" i="58"/>
  <c r="W137" i="58"/>
  <c r="W144" i="58"/>
  <c r="W145" i="58"/>
  <c r="W146" i="58"/>
  <c r="W150" i="58"/>
  <c r="W151" i="58"/>
  <c r="W152" i="58"/>
  <c r="W153" i="58"/>
  <c r="W154" i="58"/>
  <c r="W155" i="58"/>
  <c r="W157" i="58"/>
  <c r="W158" i="58"/>
  <c r="W159" i="58"/>
  <c r="W160" i="58"/>
  <c r="W162" i="58"/>
  <c r="W163" i="58"/>
  <c r="W164" i="58"/>
  <c r="W165" i="58"/>
  <c r="W166" i="58"/>
  <c r="W167" i="58"/>
  <c r="W168" i="58"/>
  <c r="W169" i="58"/>
  <c r="W170" i="58"/>
  <c r="W171" i="58"/>
  <c r="W172" i="58"/>
  <c r="W173" i="58"/>
  <c r="W174" i="58"/>
  <c r="W175" i="58"/>
  <c r="W176" i="58"/>
  <c r="W7" i="58"/>
  <c r="W9" i="58"/>
  <c r="W10" i="58"/>
  <c r="W11" i="58"/>
  <c r="W12" i="58"/>
  <c r="W16" i="58"/>
  <c r="W65" i="58"/>
  <c r="W78" i="58"/>
  <c r="W79" i="58"/>
  <c r="W82" i="58"/>
  <c r="W83" i="58"/>
  <c r="W95" i="58"/>
  <c r="W98" i="58"/>
  <c r="W99" i="58"/>
  <c r="W147" i="58"/>
  <c r="W148" i="58"/>
  <c r="W6" i="58"/>
  <c r="W5" i="58"/>
  <c r="W13" i="58"/>
  <c r="W14" i="58"/>
  <c r="W15" i="58"/>
  <c r="W81" i="58"/>
  <c r="W85" i="58"/>
  <c r="W86" i="58"/>
  <c r="W87" i="58"/>
  <c r="W88" i="58"/>
  <c r="W89" i="58"/>
  <c r="W90" i="58"/>
  <c r="W91" i="58"/>
  <c r="W93" i="58"/>
  <c r="W96" i="58"/>
  <c r="W103" i="58"/>
  <c r="W61" i="58"/>
  <c r="W62" i="58"/>
  <c r="W100" i="58"/>
  <c r="W8" i="58"/>
  <c r="W48" i="58"/>
  <c r="W55" i="58"/>
  <c r="W58" i="58"/>
  <c r="W60" i="58"/>
  <c r="W102" i="58"/>
  <c r="W106" i="58"/>
  <c r="W105" i="58"/>
  <c r="W104" i="58"/>
  <c r="W110" i="58"/>
  <c r="W108" i="58"/>
  <c r="W107" i="58"/>
  <c r="W109" i="58"/>
  <c r="W66" i="58"/>
  <c r="W94" i="58"/>
  <c r="W97" i="58"/>
  <c r="W101" i="58"/>
  <c r="W111" i="58"/>
  <c r="W149" i="58"/>
  <c r="W92" i="58"/>
  <c r="W44" i="58"/>
  <c r="W45" i="58"/>
  <c r="W47" i="58"/>
  <c r="W49" i="58"/>
  <c r="W50" i="58"/>
  <c r="W51" i="58"/>
  <c r="W52" i="58"/>
  <c r="W53" i="58"/>
  <c r="W54" i="58"/>
  <c r="W56" i="58"/>
  <c r="W57" i="58"/>
  <c r="W59" i="58"/>
  <c r="W63" i="58"/>
  <c r="W64" i="58"/>
  <c r="W143" i="58"/>
  <c r="BC17" i="58"/>
  <c r="BD17" i="58" s="1"/>
  <c r="BG17" i="58"/>
  <c r="BK17" i="58"/>
  <c r="BL17" i="58"/>
  <c r="BO17" i="58"/>
  <c r="BP17" i="58" s="1"/>
  <c r="BS17" i="58"/>
  <c r="BU17" i="58"/>
  <c r="BV17" i="58"/>
  <c r="CB17" i="58"/>
  <c r="CE17" i="58" s="1"/>
  <c r="CF17" i="58" s="1"/>
  <c r="CG17" i="58" s="1"/>
  <c r="CH17" i="58"/>
  <c r="CK17" i="58"/>
  <c r="CM17" i="58"/>
  <c r="BC18" i="58"/>
  <c r="BD18" i="58" s="1"/>
  <c r="BG18" i="58"/>
  <c r="BK18" i="58"/>
  <c r="BL18" i="58"/>
  <c r="BO18" i="58"/>
  <c r="BP18" i="58" s="1"/>
  <c r="BS18" i="58"/>
  <c r="BU18" i="58"/>
  <c r="BV18" i="58"/>
  <c r="CB18" i="58"/>
  <c r="CE18" i="58" s="1"/>
  <c r="CF18" i="58" s="1"/>
  <c r="CG18" i="58" s="1"/>
  <c r="CH18" i="58"/>
  <c r="CK18" i="58"/>
  <c r="CM18" i="58"/>
  <c r="P17" i="58"/>
  <c r="P18" i="58"/>
  <c r="P19" i="58"/>
  <c r="P20" i="58"/>
  <c r="P21" i="58"/>
  <c r="P22" i="58"/>
  <c r="P23" i="58"/>
  <c r="P24" i="58"/>
  <c r="P25" i="58"/>
  <c r="P26" i="58"/>
  <c r="P27" i="58"/>
  <c r="P28" i="58"/>
  <c r="P29" i="58"/>
  <c r="P30" i="58"/>
  <c r="P31" i="58"/>
  <c r="P32" i="58"/>
  <c r="P33" i="58"/>
  <c r="P34" i="58"/>
  <c r="P35" i="58"/>
  <c r="P36" i="58"/>
  <c r="P37" i="58"/>
  <c r="P38" i="58"/>
  <c r="P39" i="58"/>
  <c r="P40" i="58"/>
  <c r="P41" i="58"/>
  <c r="P42" i="58"/>
  <c r="P43" i="58"/>
  <c r="P46" i="58"/>
  <c r="P67" i="58"/>
  <c r="P156" i="58"/>
  <c r="P72" i="58"/>
  <c r="P73" i="58"/>
  <c r="P74" i="58"/>
  <c r="P75" i="58"/>
  <c r="P76" i="58"/>
  <c r="P77" i="58"/>
  <c r="P80" i="58"/>
  <c r="P115" i="58"/>
  <c r="P116" i="58"/>
  <c r="P117" i="58"/>
  <c r="P118" i="58"/>
  <c r="P119" i="58"/>
  <c r="P120" i="58"/>
  <c r="P121" i="58"/>
  <c r="P122" i="58"/>
  <c r="P123" i="58"/>
  <c r="P124" i="58"/>
  <c r="P125" i="58"/>
  <c r="P126" i="58"/>
  <c r="P127" i="58"/>
  <c r="P128" i="58"/>
  <c r="P129" i="58"/>
  <c r="P130" i="58"/>
  <c r="P131" i="58"/>
  <c r="P161" i="58"/>
  <c r="P132" i="58"/>
  <c r="P133" i="58"/>
  <c r="P134" i="58"/>
  <c r="P135" i="58"/>
  <c r="P136" i="58"/>
  <c r="P137" i="58"/>
  <c r="P144" i="58"/>
  <c r="P145" i="58"/>
  <c r="P146" i="58"/>
  <c r="P150" i="58"/>
  <c r="P151" i="58"/>
  <c r="P152" i="58"/>
  <c r="P153" i="58"/>
  <c r="P154" i="58"/>
  <c r="P155" i="58"/>
  <c r="P157" i="58"/>
  <c r="P158" i="58"/>
  <c r="P159" i="58"/>
  <c r="P160" i="58"/>
  <c r="P162" i="58"/>
  <c r="P163" i="58"/>
  <c r="P164" i="58"/>
  <c r="P165" i="58"/>
  <c r="P166" i="58"/>
  <c r="P167" i="58"/>
  <c r="P168" i="58"/>
  <c r="P169" i="58"/>
  <c r="P170" i="58"/>
  <c r="P171" i="58"/>
  <c r="P172" i="58"/>
  <c r="P173" i="58"/>
  <c r="P174" i="58"/>
  <c r="P175" i="58"/>
  <c r="P176" i="58"/>
  <c r="P7" i="58"/>
  <c r="P9" i="58"/>
  <c r="P10" i="58"/>
  <c r="P11" i="58"/>
  <c r="P12" i="58"/>
  <c r="P16" i="58"/>
  <c r="P65" i="58"/>
  <c r="P78" i="58"/>
  <c r="P79" i="58"/>
  <c r="P82" i="58"/>
  <c r="P83" i="58"/>
  <c r="P95" i="58"/>
  <c r="P98" i="58"/>
  <c r="P99" i="58"/>
  <c r="P147" i="58"/>
  <c r="P148" i="58"/>
  <c r="P6" i="58"/>
  <c r="P5" i="58"/>
  <c r="P13" i="58"/>
  <c r="P14" i="58"/>
  <c r="P15" i="58"/>
  <c r="P81" i="58"/>
  <c r="P85" i="58"/>
  <c r="P86" i="58"/>
  <c r="P87" i="58"/>
  <c r="P88" i="58"/>
  <c r="P89" i="58"/>
  <c r="P90" i="58"/>
  <c r="P91" i="58"/>
  <c r="P93" i="58"/>
  <c r="P96" i="58"/>
  <c r="P103" i="58"/>
  <c r="P61" i="58"/>
  <c r="P62" i="58"/>
  <c r="P100" i="58"/>
  <c r="P8" i="58"/>
  <c r="P48" i="58"/>
  <c r="P55" i="58"/>
  <c r="P58" i="58"/>
  <c r="P60" i="58"/>
  <c r="P102" i="58"/>
  <c r="P106" i="58"/>
  <c r="P105" i="58"/>
  <c r="P104" i="58"/>
  <c r="P110" i="58"/>
  <c r="P108" i="58"/>
  <c r="P107" i="58"/>
  <c r="P109" i="58"/>
  <c r="P66" i="58"/>
  <c r="P84" i="58"/>
  <c r="P94" i="58"/>
  <c r="P97" i="58"/>
  <c r="P101" i="58"/>
  <c r="P111" i="58"/>
  <c r="P149" i="58"/>
  <c r="P92" i="58"/>
  <c r="P44" i="58"/>
  <c r="P45" i="58"/>
  <c r="P47" i="58"/>
  <c r="P49" i="58"/>
  <c r="P50" i="58"/>
  <c r="P51" i="58"/>
  <c r="P52" i="58"/>
  <c r="P53" i="58"/>
  <c r="P54" i="58"/>
  <c r="P56" i="58"/>
  <c r="P57" i="58"/>
  <c r="P59" i="58"/>
  <c r="P63" i="58"/>
  <c r="P64" i="58"/>
  <c r="BE18" i="58" l="1"/>
  <c r="BF18" i="58" s="1"/>
  <c r="BE17" i="58"/>
  <c r="BF17" i="58" s="1"/>
  <c r="AO70" i="58"/>
  <c r="AP70" i="58" s="1"/>
  <c r="BH18" i="58"/>
  <c r="BH17" i="58"/>
  <c r="BE47" i="58"/>
  <c r="BF47" i="58" s="1"/>
  <c r="BE49" i="58"/>
  <c r="BF49" i="58" s="1"/>
  <c r="BE50" i="58"/>
  <c r="BF50" i="58" s="1"/>
  <c r="BE51" i="58"/>
  <c r="BF51" i="58" s="1"/>
  <c r="BE52" i="58"/>
  <c r="BF52" i="58" s="1"/>
  <c r="BE53" i="58"/>
  <c r="BF53" i="58" s="1"/>
  <c r="BE54" i="58"/>
  <c r="BF54" i="58" s="1"/>
  <c r="BE56" i="58"/>
  <c r="BF56" i="58" s="1"/>
  <c r="BE57" i="58"/>
  <c r="BF57" i="58" s="1"/>
  <c r="BE59" i="58"/>
  <c r="BF59" i="58" s="1"/>
  <c r="BE63" i="58"/>
  <c r="BF63" i="58" s="1"/>
  <c r="BE64" i="58"/>
  <c r="BF64" i="58" s="1"/>
  <c r="BE70" i="58"/>
  <c r="BF70" i="58" s="1"/>
  <c r="BF142" i="58"/>
  <c r="BE143" i="58"/>
  <c r="BF143" i="58" s="1"/>
  <c r="AL70" i="58"/>
  <c r="AM70" i="58" s="1"/>
  <c r="AN70" i="58"/>
  <c r="AI70" i="58"/>
  <c r="CH143" i="58"/>
  <c r="CH64" i="58"/>
  <c r="CH63" i="58"/>
  <c r="CH59" i="58"/>
  <c r="CH57" i="58"/>
  <c r="CH56" i="58"/>
  <c r="CH54" i="58"/>
  <c r="CH53" i="58"/>
  <c r="CH52" i="58"/>
  <c r="CH51" i="58"/>
  <c r="CH50" i="58"/>
  <c r="CH49" i="58"/>
  <c r="CH47" i="58"/>
  <c r="CH45" i="58"/>
  <c r="CH44" i="58"/>
  <c r="CH92" i="58"/>
  <c r="CH149" i="58"/>
  <c r="CH111" i="58"/>
  <c r="CH101" i="58"/>
  <c r="CH97" i="58"/>
  <c r="CH94" i="58"/>
  <c r="CH84" i="58"/>
  <c r="CH66" i="58"/>
  <c r="CH109" i="58"/>
  <c r="CH107" i="58"/>
  <c r="CH108" i="58"/>
  <c r="CH110" i="58"/>
  <c r="CH104" i="58"/>
  <c r="CH105" i="58"/>
  <c r="CH106" i="58"/>
  <c r="CH102" i="58"/>
  <c r="CH60" i="58"/>
  <c r="CH58" i="58"/>
  <c r="CH55" i="58"/>
  <c r="CH48" i="58"/>
  <c r="CH8" i="58"/>
  <c r="CH100" i="58"/>
  <c r="CH62" i="58"/>
  <c r="CH61" i="58"/>
  <c r="CH103" i="58"/>
  <c r="CH96" i="58"/>
  <c r="CH93" i="58"/>
  <c r="CH91" i="58"/>
  <c r="CH90" i="58"/>
  <c r="CH89" i="58"/>
  <c r="CH88" i="58"/>
  <c r="CH87" i="58"/>
  <c r="CH86" i="58"/>
  <c r="CH85" i="58"/>
  <c r="CH81" i="58"/>
  <c r="CH15" i="58"/>
  <c r="CH14" i="58"/>
  <c r="CH13" i="58"/>
  <c r="CH5" i="58"/>
  <c r="CH6" i="58"/>
  <c r="CH148" i="58"/>
  <c r="CH147" i="58"/>
  <c r="CH99" i="58"/>
  <c r="CH98" i="58"/>
  <c r="CH95" i="58"/>
  <c r="CH83" i="58"/>
  <c r="CH82" i="58"/>
  <c r="CH79" i="58"/>
  <c r="CH78" i="58"/>
  <c r="CH65" i="58"/>
  <c r="CH16" i="58"/>
  <c r="CH12" i="58"/>
  <c r="CH11" i="58"/>
  <c r="CH10" i="58"/>
  <c r="CH9" i="58"/>
  <c r="CH7" i="58"/>
  <c r="CH176" i="58"/>
  <c r="CH175" i="58"/>
  <c r="CH174" i="58"/>
  <c r="CH173" i="58"/>
  <c r="CH172" i="58"/>
  <c r="CH171" i="58"/>
  <c r="CH170" i="58"/>
  <c r="CH169" i="58"/>
  <c r="CH168" i="58"/>
  <c r="CH167" i="58"/>
  <c r="CH165" i="58"/>
  <c r="CH164" i="58"/>
  <c r="CH163" i="58"/>
  <c r="CH162" i="58"/>
  <c r="CH160" i="58"/>
  <c r="CH159" i="58"/>
  <c r="CH158" i="58"/>
  <c r="CH157" i="58"/>
  <c r="CH155" i="58"/>
  <c r="CH154" i="58"/>
  <c r="CH153" i="58"/>
  <c r="CH152" i="58"/>
  <c r="CH151" i="58"/>
  <c r="CH150" i="58"/>
  <c r="CH146" i="58"/>
  <c r="CH145" i="58"/>
  <c r="CH144" i="58"/>
  <c r="CH137" i="58"/>
  <c r="CH136" i="58"/>
  <c r="CH135" i="58"/>
  <c r="CH134" i="58"/>
  <c r="CH133" i="58"/>
  <c r="CH132" i="58"/>
  <c r="CH161" i="58"/>
  <c r="CH131" i="58"/>
  <c r="CH130" i="58"/>
  <c r="CH129" i="58"/>
  <c r="CH128" i="58"/>
  <c r="CH127" i="58"/>
  <c r="CH126" i="58"/>
  <c r="CH125" i="58"/>
  <c r="CH124" i="58"/>
  <c r="CH123" i="58"/>
  <c r="CH122" i="58"/>
  <c r="CH121" i="58"/>
  <c r="CH120" i="58"/>
  <c r="CH119" i="58"/>
  <c r="CH118" i="58"/>
  <c r="CH117" i="58"/>
  <c r="CH116" i="58"/>
  <c r="CH115" i="58"/>
  <c r="CH80" i="58"/>
  <c r="CH77" i="58"/>
  <c r="CH76" i="58"/>
  <c r="CH75" i="58"/>
  <c r="CH74" i="58"/>
  <c r="CH73" i="58"/>
  <c r="CH72" i="58"/>
  <c r="CH156" i="58"/>
  <c r="CH67" i="58"/>
  <c r="CH46" i="58"/>
  <c r="CH43" i="58"/>
  <c r="CH42" i="58"/>
  <c r="CH41" i="58"/>
  <c r="CH40" i="58"/>
  <c r="CH39" i="58"/>
  <c r="CH38" i="58"/>
  <c r="CH37" i="58"/>
  <c r="CH36" i="58"/>
  <c r="CH35" i="58"/>
  <c r="CH34" i="58"/>
  <c r="CH33" i="58"/>
  <c r="CH32" i="58"/>
  <c r="CH31" i="58"/>
  <c r="CH30" i="58"/>
  <c r="CH29" i="58"/>
  <c r="CH28" i="58"/>
  <c r="CH27" i="58"/>
  <c r="CH26" i="58"/>
  <c r="CH25" i="58"/>
  <c r="CH24" i="58"/>
  <c r="CH23" i="58"/>
  <c r="CH22" i="58"/>
  <c r="CH21" i="58"/>
  <c r="CH20" i="58"/>
  <c r="CH19" i="58"/>
  <c r="CH166" i="58"/>
  <c r="CE143" i="58"/>
  <c r="CF143" i="58" s="1"/>
  <c r="CG143" i="58" s="1"/>
  <c r="CG142" i="58"/>
  <c r="CB64" i="58"/>
  <c r="CE64" i="58" s="1"/>
  <c r="CF64" i="58" s="1"/>
  <c r="CG64" i="58" s="1"/>
  <c r="CB63" i="58"/>
  <c r="CE63" i="58" s="1"/>
  <c r="CF63" i="58" s="1"/>
  <c r="CG63" i="58" s="1"/>
  <c r="CB59" i="58"/>
  <c r="CE59" i="58" s="1"/>
  <c r="CF59" i="58" s="1"/>
  <c r="CG59" i="58" s="1"/>
  <c r="CB57" i="58"/>
  <c r="CE57" i="58" s="1"/>
  <c r="CF57" i="58" s="1"/>
  <c r="CG57" i="58" s="1"/>
  <c r="CB56" i="58"/>
  <c r="CE56" i="58" s="1"/>
  <c r="CF56" i="58" s="1"/>
  <c r="CG56" i="58" s="1"/>
  <c r="CB54" i="58"/>
  <c r="CE54" i="58" s="1"/>
  <c r="CF54" i="58" s="1"/>
  <c r="CG54" i="58" s="1"/>
  <c r="CB53" i="58"/>
  <c r="CE53" i="58" s="1"/>
  <c r="CF53" i="58" s="1"/>
  <c r="CG53" i="58" s="1"/>
  <c r="CB52" i="58"/>
  <c r="CE52" i="58" s="1"/>
  <c r="CF52" i="58" s="1"/>
  <c r="CG52" i="58" s="1"/>
  <c r="CB51" i="58"/>
  <c r="CE51" i="58" s="1"/>
  <c r="CF51" i="58" s="1"/>
  <c r="CG51" i="58" s="1"/>
  <c r="CB50" i="58"/>
  <c r="CE50" i="58" s="1"/>
  <c r="CF50" i="58" s="1"/>
  <c r="CG50" i="58" s="1"/>
  <c r="CB49" i="58"/>
  <c r="CE49" i="58" s="1"/>
  <c r="CB47" i="58"/>
  <c r="CE47" i="58" s="1"/>
  <c r="CB45" i="58"/>
  <c r="CE45" i="58" s="1"/>
  <c r="CB44" i="58"/>
  <c r="CE44" i="58" s="1"/>
  <c r="CB92" i="58"/>
  <c r="CE92" i="58" s="1"/>
  <c r="CB149" i="58"/>
  <c r="CE149" i="58" s="1"/>
  <c r="CB111" i="58"/>
  <c r="CE111" i="58" s="1"/>
  <c r="CB101" i="58"/>
  <c r="CE101" i="58" s="1"/>
  <c r="CB97" i="58"/>
  <c r="CE97" i="58" s="1"/>
  <c r="CB94" i="58"/>
  <c r="CE94" i="58" s="1"/>
  <c r="CB84" i="58"/>
  <c r="CE84" i="58" s="1"/>
  <c r="CB66" i="58"/>
  <c r="CE66" i="58" s="1"/>
  <c r="CB109" i="58"/>
  <c r="CE109" i="58" s="1"/>
  <c r="CB107" i="58"/>
  <c r="CE107" i="58" s="1"/>
  <c r="CB108" i="58"/>
  <c r="CE108" i="58" s="1"/>
  <c r="CB110" i="58"/>
  <c r="CE110" i="58" s="1"/>
  <c r="CB104" i="58"/>
  <c r="CE104" i="58" s="1"/>
  <c r="CB105" i="58"/>
  <c r="CE105" i="58" s="1"/>
  <c r="CB106" i="58"/>
  <c r="CE106" i="58" s="1"/>
  <c r="CB102" i="58"/>
  <c r="CE102" i="58" s="1"/>
  <c r="CB60" i="58"/>
  <c r="CE60" i="58" s="1"/>
  <c r="CB58" i="58"/>
  <c r="CE58" i="58" s="1"/>
  <c r="CB55" i="58"/>
  <c r="CE55" i="58" s="1"/>
  <c r="CB48" i="58"/>
  <c r="CE48" i="58" s="1"/>
  <c r="CB8" i="58"/>
  <c r="CE8" i="58" s="1"/>
  <c r="CB100" i="58"/>
  <c r="CE100" i="58" s="1"/>
  <c r="CB62" i="58"/>
  <c r="CE62" i="58" s="1"/>
  <c r="CB61" i="58"/>
  <c r="CE61" i="58" s="1"/>
  <c r="CB103" i="58"/>
  <c r="CE103" i="58" s="1"/>
  <c r="CB96" i="58"/>
  <c r="CE96" i="58" s="1"/>
  <c r="CB93" i="58"/>
  <c r="CE93" i="58" s="1"/>
  <c r="CB91" i="58"/>
  <c r="CE91" i="58" s="1"/>
  <c r="CB90" i="58"/>
  <c r="CE90" i="58" s="1"/>
  <c r="CB89" i="58"/>
  <c r="CE89" i="58" s="1"/>
  <c r="CB88" i="58"/>
  <c r="CE88" i="58" s="1"/>
  <c r="CB87" i="58"/>
  <c r="CE87" i="58" s="1"/>
  <c r="CB86" i="58"/>
  <c r="CE86" i="58" s="1"/>
  <c r="CB85" i="58"/>
  <c r="CE85" i="58" s="1"/>
  <c r="CB81" i="58"/>
  <c r="CE81" i="58" s="1"/>
  <c r="CB15" i="58"/>
  <c r="CE15" i="58" s="1"/>
  <c r="CB14" i="58"/>
  <c r="CE14" i="58" s="1"/>
  <c r="CB13" i="58"/>
  <c r="CE13" i="58" s="1"/>
  <c r="CB5" i="58"/>
  <c r="CE5" i="58" s="1"/>
  <c r="CB6" i="58"/>
  <c r="CE6" i="58" s="1"/>
  <c r="CB148" i="58"/>
  <c r="CE148" i="58" s="1"/>
  <c r="CB147" i="58"/>
  <c r="CE147" i="58" s="1"/>
  <c r="CB99" i="58"/>
  <c r="CE99" i="58" s="1"/>
  <c r="CB98" i="58"/>
  <c r="CE98" i="58" s="1"/>
  <c r="CB95" i="58"/>
  <c r="CE95" i="58" s="1"/>
  <c r="CB83" i="58"/>
  <c r="CE83" i="58" s="1"/>
  <c r="CB82" i="58"/>
  <c r="CE82" i="58" s="1"/>
  <c r="CB79" i="58"/>
  <c r="CE79" i="58" s="1"/>
  <c r="CB78" i="58"/>
  <c r="CE78" i="58" s="1"/>
  <c r="CB65" i="58"/>
  <c r="CE65" i="58" s="1"/>
  <c r="CB16" i="58"/>
  <c r="CE16" i="58" s="1"/>
  <c r="CB12" i="58"/>
  <c r="CE12" i="58" s="1"/>
  <c r="CB11" i="58"/>
  <c r="CE11" i="58" s="1"/>
  <c r="CB10" i="58"/>
  <c r="CE10" i="58" s="1"/>
  <c r="CB9" i="58"/>
  <c r="CE9" i="58" s="1"/>
  <c r="CB7" i="58"/>
  <c r="CE7" i="58" s="1"/>
  <c r="CB176" i="58"/>
  <c r="CE176" i="58" s="1"/>
  <c r="CB175" i="58"/>
  <c r="CE175" i="58" s="1"/>
  <c r="CB174" i="58"/>
  <c r="CE174" i="58" s="1"/>
  <c r="CB173" i="58"/>
  <c r="CE173" i="58" s="1"/>
  <c r="CB172" i="58"/>
  <c r="CE172" i="58" s="1"/>
  <c r="CB171" i="58"/>
  <c r="CE171" i="58" s="1"/>
  <c r="CB170" i="58"/>
  <c r="CE170" i="58" s="1"/>
  <c r="CB169" i="58"/>
  <c r="CE169" i="58" s="1"/>
  <c r="CB168" i="58"/>
  <c r="CE168" i="58" s="1"/>
  <c r="CB167" i="58"/>
  <c r="CE167" i="58" s="1"/>
  <c r="CB165" i="58"/>
  <c r="CE165" i="58" s="1"/>
  <c r="CB164" i="58"/>
  <c r="CE164" i="58" s="1"/>
  <c r="CB163" i="58"/>
  <c r="CE163" i="58" s="1"/>
  <c r="CB162" i="58"/>
  <c r="CE162" i="58" s="1"/>
  <c r="CB160" i="58"/>
  <c r="CE160" i="58" s="1"/>
  <c r="CB159" i="58"/>
  <c r="CE159" i="58" s="1"/>
  <c r="CB158" i="58"/>
  <c r="CE158" i="58" s="1"/>
  <c r="CB157" i="58"/>
  <c r="CE157" i="58" s="1"/>
  <c r="CB155" i="58"/>
  <c r="CE155" i="58" s="1"/>
  <c r="CB154" i="58"/>
  <c r="CE154" i="58" s="1"/>
  <c r="CB153" i="58"/>
  <c r="CE153" i="58" s="1"/>
  <c r="CB152" i="58"/>
  <c r="CE152" i="58" s="1"/>
  <c r="CB151" i="58"/>
  <c r="CE151" i="58" s="1"/>
  <c r="CB150" i="58"/>
  <c r="CE150" i="58" s="1"/>
  <c r="CB146" i="58"/>
  <c r="CE146" i="58" s="1"/>
  <c r="CB145" i="58"/>
  <c r="CE145" i="58" s="1"/>
  <c r="CB144" i="58"/>
  <c r="CE144" i="58" s="1"/>
  <c r="CB137" i="58"/>
  <c r="CE137" i="58" s="1"/>
  <c r="CB136" i="58"/>
  <c r="CE136" i="58" s="1"/>
  <c r="CB135" i="58"/>
  <c r="CE135" i="58" s="1"/>
  <c r="CB134" i="58"/>
  <c r="CE134" i="58" s="1"/>
  <c r="CB133" i="58"/>
  <c r="CE133" i="58" s="1"/>
  <c r="CB132" i="58"/>
  <c r="CE132" i="58" s="1"/>
  <c r="CB161" i="58"/>
  <c r="CE161" i="58" s="1"/>
  <c r="CB131" i="58"/>
  <c r="CE131" i="58" s="1"/>
  <c r="CB130" i="58"/>
  <c r="CE130" i="58" s="1"/>
  <c r="CB129" i="58"/>
  <c r="CE129" i="58" s="1"/>
  <c r="CB128" i="58"/>
  <c r="CE128" i="58" s="1"/>
  <c r="CB127" i="58"/>
  <c r="CE127" i="58" s="1"/>
  <c r="CB126" i="58"/>
  <c r="CE126" i="58" s="1"/>
  <c r="CB125" i="58"/>
  <c r="CE125" i="58" s="1"/>
  <c r="CB124" i="58"/>
  <c r="CE124" i="58" s="1"/>
  <c r="CB123" i="58"/>
  <c r="CE123" i="58" s="1"/>
  <c r="CB122" i="58"/>
  <c r="CE122" i="58" s="1"/>
  <c r="CB121" i="58"/>
  <c r="CE121" i="58" s="1"/>
  <c r="CB120" i="58"/>
  <c r="CE120" i="58" s="1"/>
  <c r="CB119" i="58"/>
  <c r="CE119" i="58" s="1"/>
  <c r="CB118" i="58"/>
  <c r="CE118" i="58" s="1"/>
  <c r="CB117" i="58"/>
  <c r="CE117" i="58" s="1"/>
  <c r="CB116" i="58"/>
  <c r="CE116" i="58" s="1"/>
  <c r="CB115" i="58"/>
  <c r="CE115" i="58" s="1"/>
  <c r="CB80" i="58"/>
  <c r="CE80" i="58" s="1"/>
  <c r="CB77" i="58"/>
  <c r="CE77" i="58" s="1"/>
  <c r="CB76" i="58"/>
  <c r="CE76" i="58" s="1"/>
  <c r="CB75" i="58"/>
  <c r="CE75" i="58" s="1"/>
  <c r="CB74" i="58"/>
  <c r="CE74" i="58" s="1"/>
  <c r="CB73" i="58"/>
  <c r="CE73" i="58" s="1"/>
  <c r="CB72" i="58"/>
  <c r="CE72" i="58" s="1"/>
  <c r="CB156" i="58"/>
  <c r="CE156" i="58" s="1"/>
  <c r="CB67" i="58"/>
  <c r="CE67" i="58" s="1"/>
  <c r="CB46" i="58"/>
  <c r="CE46" i="58" s="1"/>
  <c r="CB43" i="58"/>
  <c r="CE43" i="58" s="1"/>
  <c r="CB42" i="58"/>
  <c r="CE42" i="58" s="1"/>
  <c r="CB41" i="58"/>
  <c r="CE41" i="58" s="1"/>
  <c r="CB40" i="58"/>
  <c r="CE40" i="58" s="1"/>
  <c r="CB39" i="58"/>
  <c r="CE39" i="58" s="1"/>
  <c r="CB38" i="58"/>
  <c r="CE38" i="58" s="1"/>
  <c r="CB37" i="58"/>
  <c r="CE37" i="58" s="1"/>
  <c r="CB36" i="58"/>
  <c r="CE36" i="58" s="1"/>
  <c r="CB35" i="58"/>
  <c r="CE35" i="58" s="1"/>
  <c r="CB34" i="58"/>
  <c r="CE34" i="58" s="1"/>
  <c r="CB33" i="58"/>
  <c r="CE33" i="58" s="1"/>
  <c r="CB32" i="58"/>
  <c r="CE32" i="58" s="1"/>
  <c r="CB31" i="58"/>
  <c r="CE31" i="58" s="1"/>
  <c r="CB30" i="58"/>
  <c r="CE30" i="58" s="1"/>
  <c r="CB29" i="58"/>
  <c r="CE29" i="58" s="1"/>
  <c r="CB28" i="58"/>
  <c r="CE28" i="58" s="1"/>
  <c r="CB27" i="58"/>
  <c r="CE27" i="58" s="1"/>
  <c r="CB26" i="58"/>
  <c r="CE26" i="58" s="1"/>
  <c r="CB25" i="58"/>
  <c r="CE25" i="58" s="1"/>
  <c r="CB24" i="58"/>
  <c r="CE24" i="58" s="1"/>
  <c r="CB23" i="58"/>
  <c r="CE23" i="58" s="1"/>
  <c r="CB22" i="58"/>
  <c r="CE22" i="58" s="1"/>
  <c r="CB21" i="58"/>
  <c r="CE21" i="58" s="1"/>
  <c r="CB20" i="58"/>
  <c r="CE20" i="58" s="1"/>
  <c r="CB19" i="58"/>
  <c r="CE19" i="58" s="1"/>
  <c r="CB166" i="58"/>
  <c r="CE166" i="58" s="1"/>
  <c r="BO45" i="58"/>
  <c r="BO44" i="58"/>
  <c r="BO92" i="58"/>
  <c r="BO149" i="58"/>
  <c r="BO111" i="58"/>
  <c r="BO101" i="58"/>
  <c r="BO97" i="58"/>
  <c r="BO94" i="58"/>
  <c r="BO84" i="58"/>
  <c r="BO66" i="58"/>
  <c r="BO109" i="58"/>
  <c r="BO107" i="58"/>
  <c r="BO108" i="58"/>
  <c r="BO110" i="58"/>
  <c r="BO104" i="58"/>
  <c r="BO105" i="58"/>
  <c r="BO106" i="58"/>
  <c r="BO102" i="58"/>
  <c r="BO60" i="58"/>
  <c r="BO58" i="58"/>
  <c r="BO55" i="58"/>
  <c r="BO48" i="58"/>
  <c r="BO8" i="58"/>
  <c r="BO100" i="58"/>
  <c r="BO62" i="58"/>
  <c r="BO61" i="58"/>
  <c r="BO103" i="58"/>
  <c r="BO96" i="58"/>
  <c r="BO93" i="58"/>
  <c r="BO91" i="58"/>
  <c r="BO90" i="58"/>
  <c r="BO89" i="58"/>
  <c r="BO88" i="58"/>
  <c r="BO87" i="58"/>
  <c r="BO86" i="58"/>
  <c r="BO85" i="58"/>
  <c r="BO81" i="58"/>
  <c r="BO15" i="58"/>
  <c r="BO14" i="58"/>
  <c r="BO13" i="58"/>
  <c r="BO5" i="58"/>
  <c r="BO6" i="58"/>
  <c r="BO148" i="58"/>
  <c r="BO147" i="58"/>
  <c r="BO99" i="58"/>
  <c r="BO98" i="58"/>
  <c r="BO95" i="58"/>
  <c r="BO83" i="58"/>
  <c r="BO82" i="58"/>
  <c r="BO79" i="58"/>
  <c r="BO78" i="58"/>
  <c r="BO65" i="58"/>
  <c r="BO16" i="58"/>
  <c r="BO12" i="58"/>
  <c r="BO11" i="58"/>
  <c r="BO10" i="58"/>
  <c r="BO9" i="58"/>
  <c r="BO7" i="58"/>
  <c r="BO176" i="58"/>
  <c r="BO175" i="58"/>
  <c r="BO174" i="58"/>
  <c r="BO173" i="58"/>
  <c r="BO172" i="58"/>
  <c r="BO171" i="58"/>
  <c r="BO170" i="58"/>
  <c r="BO169" i="58"/>
  <c r="BO168" i="58"/>
  <c r="BO167" i="58"/>
  <c r="BO166" i="58"/>
  <c r="BO165" i="58"/>
  <c r="BO164" i="58"/>
  <c r="BO163" i="58"/>
  <c r="BO162" i="58"/>
  <c r="BO160" i="58"/>
  <c r="BO159" i="58"/>
  <c r="BO158" i="58"/>
  <c r="BO157" i="58"/>
  <c r="BO155" i="58"/>
  <c r="BO154" i="58"/>
  <c r="BO153" i="58"/>
  <c r="BO152" i="58"/>
  <c r="BO151" i="58"/>
  <c r="BO150" i="58"/>
  <c r="BO146" i="58"/>
  <c r="BO145" i="58"/>
  <c r="BO144" i="58"/>
  <c r="BO137" i="58"/>
  <c r="BO136" i="58"/>
  <c r="BO135" i="58"/>
  <c r="BO134" i="58"/>
  <c r="BO133" i="58"/>
  <c r="BO132" i="58"/>
  <c r="BO161" i="58"/>
  <c r="BO131" i="58"/>
  <c r="BO130" i="58"/>
  <c r="BO129" i="58"/>
  <c r="BO128" i="58"/>
  <c r="BO127" i="58"/>
  <c r="BO126" i="58"/>
  <c r="BO125" i="58"/>
  <c r="BO124" i="58"/>
  <c r="BO123" i="58"/>
  <c r="BO122" i="58"/>
  <c r="BO121" i="58"/>
  <c r="BO120" i="58"/>
  <c r="BO119" i="58"/>
  <c r="BO118" i="58"/>
  <c r="BO117" i="58"/>
  <c r="BO116" i="58"/>
  <c r="BO115" i="58"/>
  <c r="BO80" i="58"/>
  <c r="BO77" i="58"/>
  <c r="BO76" i="58"/>
  <c r="BO75" i="58"/>
  <c r="BO74" i="58"/>
  <c r="BO73" i="58"/>
  <c r="BO72" i="58"/>
  <c r="BO156" i="58"/>
  <c r="BO67" i="58"/>
  <c r="BO46" i="58"/>
  <c r="BO43" i="58"/>
  <c r="BO42" i="58"/>
  <c r="BO41" i="58"/>
  <c r="BO40" i="58"/>
  <c r="BO39" i="58"/>
  <c r="BO38" i="58"/>
  <c r="BO37" i="58"/>
  <c r="BO36" i="58"/>
  <c r="BO35" i="58"/>
  <c r="BO34" i="58"/>
  <c r="BO33" i="58"/>
  <c r="BO32" i="58"/>
  <c r="BO31" i="58"/>
  <c r="BO30" i="58"/>
  <c r="BO29" i="58"/>
  <c r="BO28" i="58"/>
  <c r="BO27" i="58"/>
  <c r="BO26" i="58"/>
  <c r="BO25" i="58"/>
  <c r="BO24" i="58"/>
  <c r="BO23" i="58"/>
  <c r="BO22" i="58"/>
  <c r="BO21" i="58"/>
  <c r="BO20" i="58"/>
  <c r="BO19" i="58"/>
  <c r="E11" i="54" l="1"/>
  <c r="L66" i="63"/>
  <c r="M66" i="63" s="1"/>
  <c r="K66" i="63"/>
  <c r="T67" i="63"/>
  <c r="Q67" i="63"/>
  <c r="P67" i="63"/>
  <c r="N67" i="63"/>
  <c r="L67" i="63"/>
  <c r="K67" i="63"/>
  <c r="K69" i="63"/>
  <c r="L70" i="63"/>
  <c r="P70" i="63" s="1"/>
  <c r="K70" i="63"/>
  <c r="P65" i="63"/>
  <c r="M65" i="63"/>
  <c r="K65" i="63"/>
  <c r="N73" i="63"/>
  <c r="K73" i="63"/>
  <c r="N72" i="63"/>
  <c r="K72" i="63"/>
  <c r="N63" i="63"/>
  <c r="N59" i="63"/>
  <c r="K59" i="63"/>
  <c r="N57" i="63"/>
  <c r="K57" i="63"/>
  <c r="N55" i="63"/>
  <c r="K55" i="63"/>
  <c r="AH53" i="63"/>
  <c r="AG53" i="63"/>
  <c r="AF53" i="63"/>
  <c r="M53" i="63"/>
  <c r="N53" i="63" s="1"/>
  <c r="K53" i="63"/>
  <c r="N52" i="63"/>
  <c r="K52" i="63"/>
  <c r="U51" i="63"/>
  <c r="M51" i="63"/>
  <c r="N51" i="63" s="1"/>
  <c r="K51" i="63"/>
  <c r="AH50" i="63"/>
  <c r="AG50" i="63"/>
  <c r="AF50" i="63"/>
  <c r="K50" i="63"/>
  <c r="N47" i="63"/>
  <c r="O43" i="63"/>
  <c r="O67" i="63" s="1"/>
  <c r="M43" i="63"/>
  <c r="M67" i="63" s="1"/>
  <c r="K43" i="63"/>
  <c r="N42" i="63"/>
  <c r="K42" i="63"/>
  <c r="K41" i="63"/>
  <c r="N40" i="63"/>
  <c r="K40" i="63"/>
  <c r="N39" i="63"/>
  <c r="K39" i="63"/>
  <c r="K34" i="63"/>
  <c r="K33" i="63"/>
  <c r="U32" i="63"/>
  <c r="T32" i="63"/>
  <c r="L32" i="63"/>
  <c r="M32" i="63" s="1"/>
  <c r="N32" i="63" s="1"/>
  <c r="K32" i="63"/>
  <c r="K28" i="63"/>
  <c r="Z25" i="63"/>
  <c r="N25" i="63"/>
  <c r="K25" i="63"/>
  <c r="AH24" i="63"/>
  <c r="AF24" i="63"/>
  <c r="Z24" i="63"/>
  <c r="Q24" i="63"/>
  <c r="M24" i="63"/>
  <c r="N24" i="63" s="1"/>
  <c r="K24" i="63"/>
  <c r="Z23" i="63"/>
  <c r="N23" i="63"/>
  <c r="K23" i="63"/>
  <c r="Z22" i="63"/>
  <c r="N22" i="63"/>
  <c r="K22" i="63"/>
  <c r="Z21" i="63"/>
  <c r="N21" i="63"/>
  <c r="K21" i="63"/>
  <c r="N20" i="63"/>
  <c r="K20" i="63"/>
  <c r="Q19" i="63"/>
  <c r="N19" i="63"/>
  <c r="K19" i="63"/>
  <c r="N18" i="63"/>
  <c r="K18" i="63"/>
  <c r="Z17" i="63"/>
  <c r="K17" i="63"/>
  <c r="AH16" i="63"/>
  <c r="AF16" i="63"/>
  <c r="Z16" i="63"/>
  <c r="N16" i="63"/>
  <c r="K16" i="63"/>
  <c r="Z15" i="63"/>
  <c r="K15" i="63"/>
  <c r="Z13" i="63"/>
  <c r="K13" i="63"/>
  <c r="Z12" i="63"/>
  <c r="K12" i="63"/>
  <c r="AH11" i="63"/>
  <c r="AG11" i="63"/>
  <c r="AF11" i="63"/>
  <c r="Z11" i="63"/>
  <c r="K11" i="63"/>
  <c r="N10" i="63"/>
  <c r="K10" i="63"/>
  <c r="N9" i="63"/>
  <c r="K9" i="63"/>
  <c r="N6" i="63"/>
  <c r="K6" i="63"/>
  <c r="N5" i="63"/>
  <c r="K5" i="63"/>
  <c r="CM143" i="58"/>
  <c r="CK143" i="58"/>
  <c r="BL143" i="58"/>
  <c r="BK143" i="58"/>
  <c r="AS143" i="58"/>
  <c r="AR143" i="58"/>
  <c r="AQ143" i="58"/>
  <c r="AJ143" i="58"/>
  <c r="AK143" i="58" s="1"/>
  <c r="AH143" i="58"/>
  <c r="AN143" i="58" s="1"/>
  <c r="CM64" i="58"/>
  <c r="CK64" i="58"/>
  <c r="BL64" i="58"/>
  <c r="BK64" i="58"/>
  <c r="CM63" i="58"/>
  <c r="CK63" i="58"/>
  <c r="BL63" i="58"/>
  <c r="BK63" i="58"/>
  <c r="CM59" i="58"/>
  <c r="CK59" i="58"/>
  <c r="BL59" i="58"/>
  <c r="BK59" i="58"/>
  <c r="CM57" i="58"/>
  <c r="CK57" i="58"/>
  <c r="BL57" i="58"/>
  <c r="BK57" i="58"/>
  <c r="CM56" i="58"/>
  <c r="CK56" i="58"/>
  <c r="BL56" i="58"/>
  <c r="BK56" i="58"/>
  <c r="CM54" i="58"/>
  <c r="CK54" i="58"/>
  <c r="BL54" i="58"/>
  <c r="BK54" i="58"/>
  <c r="CM53" i="58"/>
  <c r="CK53" i="58"/>
  <c r="BL53" i="58"/>
  <c r="BK53" i="58"/>
  <c r="CM52" i="58"/>
  <c r="CK52" i="58"/>
  <c r="BL52" i="58"/>
  <c r="BK52" i="58"/>
  <c r="CM51" i="58"/>
  <c r="CK51" i="58"/>
  <c r="BL51" i="58"/>
  <c r="BK51" i="58"/>
  <c r="CM50" i="58"/>
  <c r="CK50" i="58"/>
  <c r="BL50" i="58"/>
  <c r="BK50" i="58"/>
  <c r="CM49" i="58"/>
  <c r="CK49" i="58"/>
  <c r="CF49" i="58"/>
  <c r="CG49" i="58" s="1"/>
  <c r="BL49" i="58"/>
  <c r="BK49" i="58"/>
  <c r="CM47" i="58"/>
  <c r="CK47" i="58"/>
  <c r="CF47" i="58"/>
  <c r="CG47" i="58" s="1"/>
  <c r="BL47" i="58"/>
  <c r="BK47" i="58"/>
  <c r="CM45" i="58"/>
  <c r="CK45" i="58"/>
  <c r="CF45" i="58"/>
  <c r="CG45" i="58" s="1"/>
  <c r="BV45" i="58"/>
  <c r="BU45" i="58"/>
  <c r="BP45" i="58"/>
  <c r="BL45" i="58"/>
  <c r="BK45" i="58"/>
  <c r="BG45" i="58"/>
  <c r="BH45" i="58" s="1"/>
  <c r="CM44" i="58"/>
  <c r="CK44" i="58"/>
  <c r="CF44" i="58"/>
  <c r="CG44" i="58" s="1"/>
  <c r="BV44" i="58"/>
  <c r="BU44" i="58"/>
  <c r="BS44" i="58"/>
  <c r="BP44" i="58"/>
  <c r="BL44" i="58"/>
  <c r="BK44" i="58"/>
  <c r="BG44" i="58"/>
  <c r="BH44" i="58" s="1"/>
  <c r="BC44" i="58"/>
  <c r="BD44" i="58" s="1"/>
  <c r="CM92" i="58"/>
  <c r="CK92" i="58"/>
  <c r="CF92" i="58"/>
  <c r="CG92" i="58" s="1"/>
  <c r="BV92" i="58"/>
  <c r="BU92" i="58"/>
  <c r="BS92" i="58"/>
  <c r="BP92" i="58"/>
  <c r="BL92" i="58"/>
  <c r="BK92" i="58"/>
  <c r="BG92" i="58"/>
  <c r="BH92" i="58" s="1"/>
  <c r="BC92" i="58"/>
  <c r="CM149" i="58"/>
  <c r="CK149" i="58"/>
  <c r="CF149" i="58"/>
  <c r="CG149" i="58" s="1"/>
  <c r="BV149" i="58"/>
  <c r="BU149" i="58"/>
  <c r="BS149" i="58"/>
  <c r="BP149" i="58"/>
  <c r="BL149" i="58"/>
  <c r="BK149" i="58"/>
  <c r="BG149" i="58"/>
  <c r="BH149" i="58" s="1"/>
  <c r="BC149" i="58"/>
  <c r="BD149" i="58" s="1"/>
  <c r="CM111" i="58"/>
  <c r="CK111" i="58"/>
  <c r="CF111" i="58"/>
  <c r="CG111" i="58" s="1"/>
  <c r="BV111" i="58"/>
  <c r="BU111" i="58"/>
  <c r="BS111" i="58"/>
  <c r="BP111" i="58"/>
  <c r="BL111" i="58"/>
  <c r="BK111" i="58"/>
  <c r="BG111" i="58"/>
  <c r="BH111" i="58" s="1"/>
  <c r="BC111" i="58"/>
  <c r="CM101" i="58"/>
  <c r="CK101" i="58"/>
  <c r="CF101" i="58"/>
  <c r="CG101" i="58" s="1"/>
  <c r="BV101" i="58"/>
  <c r="BU101" i="58"/>
  <c r="BS101" i="58"/>
  <c r="BP101" i="58"/>
  <c r="BL101" i="58"/>
  <c r="BK101" i="58"/>
  <c r="BG101" i="58"/>
  <c r="BH101" i="58" s="1"/>
  <c r="BC101" i="58"/>
  <c r="BD101" i="58" s="1"/>
  <c r="CM97" i="58"/>
  <c r="CK97" i="58"/>
  <c r="CF97" i="58"/>
  <c r="CG97" i="58" s="1"/>
  <c r="BV97" i="58"/>
  <c r="BU97" i="58"/>
  <c r="BS97" i="58"/>
  <c r="BP97" i="58"/>
  <c r="BL97" i="58"/>
  <c r="BK97" i="58"/>
  <c r="BG97" i="58"/>
  <c r="BH97" i="58" s="1"/>
  <c r="BC97" i="58"/>
  <c r="CM94" i="58"/>
  <c r="CK94" i="58"/>
  <c r="CF94" i="58"/>
  <c r="CG94" i="58" s="1"/>
  <c r="BV94" i="58"/>
  <c r="BU94" i="58"/>
  <c r="BS94" i="58"/>
  <c r="BP94" i="58"/>
  <c r="BL94" i="58"/>
  <c r="BK94" i="58"/>
  <c r="BG94" i="58"/>
  <c r="BH94" i="58" s="1"/>
  <c r="BC94" i="58"/>
  <c r="BD94" i="58" s="1"/>
  <c r="CM84" i="58"/>
  <c r="CK84" i="58"/>
  <c r="CF84" i="58"/>
  <c r="CG84" i="58" s="1"/>
  <c r="BV84" i="58"/>
  <c r="BU84" i="58"/>
  <c r="BS84" i="58"/>
  <c r="BP84" i="58"/>
  <c r="BL84" i="58"/>
  <c r="BK84" i="58"/>
  <c r="BG84" i="58"/>
  <c r="BH84" i="58" s="1"/>
  <c r="CM66" i="58"/>
  <c r="CK66" i="58"/>
  <c r="CF66" i="58"/>
  <c r="CG66" i="58" s="1"/>
  <c r="BV66" i="58"/>
  <c r="BU66" i="58"/>
  <c r="BS66" i="58"/>
  <c r="BP66" i="58"/>
  <c r="BL66" i="58"/>
  <c r="BK66" i="58"/>
  <c r="BG66" i="58"/>
  <c r="BH66" i="58" s="1"/>
  <c r="BC66" i="58"/>
  <c r="BD66" i="58" s="1"/>
  <c r="CM109" i="58"/>
  <c r="CK109" i="58"/>
  <c r="CF109" i="58"/>
  <c r="CG109" i="58" s="1"/>
  <c r="BV109" i="58"/>
  <c r="BU109" i="58"/>
  <c r="BS109" i="58"/>
  <c r="BP109" i="58"/>
  <c r="BL109" i="58"/>
  <c r="BK109" i="58"/>
  <c r="BG109" i="58"/>
  <c r="BH109" i="58" s="1"/>
  <c r="BC109" i="58"/>
  <c r="CM107" i="58"/>
  <c r="CK107" i="58"/>
  <c r="CF107" i="58"/>
  <c r="CG107" i="58" s="1"/>
  <c r="BV107" i="58"/>
  <c r="BU107" i="58"/>
  <c r="BS107" i="58"/>
  <c r="BP107" i="58"/>
  <c r="BL107" i="58"/>
  <c r="BK107" i="58"/>
  <c r="BG107" i="58"/>
  <c r="BH107" i="58" s="1"/>
  <c r="BC107" i="58"/>
  <c r="BD107" i="58" s="1"/>
  <c r="CM108" i="58"/>
  <c r="CK108" i="58"/>
  <c r="CF108" i="58"/>
  <c r="CG108" i="58" s="1"/>
  <c r="BV108" i="58"/>
  <c r="BU108" i="58"/>
  <c r="BS108" i="58"/>
  <c r="BP108" i="58"/>
  <c r="BL108" i="58"/>
  <c r="BK108" i="58"/>
  <c r="BG108" i="58"/>
  <c r="BH108" i="58" s="1"/>
  <c r="BC108" i="58"/>
  <c r="CM110" i="58"/>
  <c r="CK110" i="58"/>
  <c r="CF110" i="58"/>
  <c r="CG110" i="58" s="1"/>
  <c r="BV110" i="58"/>
  <c r="BU110" i="58"/>
  <c r="BS110" i="58"/>
  <c r="BP110" i="58"/>
  <c r="BL110" i="58"/>
  <c r="BK110" i="58"/>
  <c r="BG110" i="58"/>
  <c r="BH110" i="58" s="1"/>
  <c r="BC110" i="58"/>
  <c r="CM104" i="58"/>
  <c r="CK104" i="58"/>
  <c r="CF104" i="58"/>
  <c r="CG104" i="58" s="1"/>
  <c r="BV104" i="58"/>
  <c r="BU104" i="58"/>
  <c r="BS104" i="58"/>
  <c r="BP104" i="58"/>
  <c r="BL104" i="58"/>
  <c r="BK104" i="58"/>
  <c r="BG104" i="58"/>
  <c r="BH104" i="58" s="1"/>
  <c r="BC104" i="58"/>
  <c r="CM105" i="58"/>
  <c r="CK105" i="58"/>
  <c r="CF105" i="58"/>
  <c r="CG105" i="58" s="1"/>
  <c r="BV105" i="58"/>
  <c r="BU105" i="58"/>
  <c r="BS105" i="58"/>
  <c r="BP105" i="58"/>
  <c r="BL105" i="58"/>
  <c r="BK105" i="58"/>
  <c r="BG105" i="58"/>
  <c r="BH105" i="58" s="1"/>
  <c r="BC105" i="58"/>
  <c r="CM106" i="58"/>
  <c r="CK106" i="58"/>
  <c r="CF106" i="58"/>
  <c r="CG106" i="58" s="1"/>
  <c r="BV106" i="58"/>
  <c r="BU106" i="58"/>
  <c r="BS106" i="58"/>
  <c r="BP106" i="58"/>
  <c r="BL106" i="58"/>
  <c r="BK106" i="58"/>
  <c r="BG106" i="58"/>
  <c r="BH106" i="58" s="1"/>
  <c r="BC106" i="58"/>
  <c r="CM102" i="58"/>
  <c r="CK102" i="58"/>
  <c r="CF102" i="58"/>
  <c r="CG102" i="58" s="1"/>
  <c r="BV102" i="58"/>
  <c r="BU102" i="58"/>
  <c r="BS102" i="58"/>
  <c r="BP102" i="58"/>
  <c r="BL102" i="58"/>
  <c r="BK102" i="58"/>
  <c r="BG102" i="58"/>
  <c r="BH102" i="58" s="1"/>
  <c r="BC102" i="58"/>
  <c r="CM60" i="58"/>
  <c r="CK60" i="58"/>
  <c r="CF60" i="58"/>
  <c r="CG60" i="58" s="1"/>
  <c r="BV60" i="58"/>
  <c r="BU60" i="58"/>
  <c r="BS60" i="58"/>
  <c r="BP60" i="58"/>
  <c r="BL60" i="58"/>
  <c r="BK60" i="58"/>
  <c r="BG60" i="58"/>
  <c r="BH60" i="58" s="1"/>
  <c r="BC60" i="58"/>
  <c r="BD60" i="58" s="1"/>
  <c r="CM58" i="58"/>
  <c r="CK58" i="58"/>
  <c r="CF58" i="58"/>
  <c r="CG58" i="58" s="1"/>
  <c r="BV58" i="58"/>
  <c r="BU58" i="58"/>
  <c r="BS58" i="58"/>
  <c r="BP58" i="58"/>
  <c r="BL58" i="58"/>
  <c r="BK58" i="58"/>
  <c r="BG58" i="58"/>
  <c r="BH58" i="58" s="1"/>
  <c r="BC58" i="58"/>
  <c r="CM55" i="58"/>
  <c r="CK55" i="58"/>
  <c r="CF55" i="58"/>
  <c r="CG55" i="58" s="1"/>
  <c r="BV55" i="58"/>
  <c r="BU55" i="58"/>
  <c r="BS55" i="58"/>
  <c r="BP55" i="58"/>
  <c r="BL55" i="58"/>
  <c r="BK55" i="58"/>
  <c r="BG55" i="58"/>
  <c r="BH55" i="58" s="1"/>
  <c r="BC55" i="58"/>
  <c r="BD55" i="58" s="1"/>
  <c r="CM48" i="58"/>
  <c r="CK48" i="58"/>
  <c r="CF48" i="58"/>
  <c r="CG48" i="58" s="1"/>
  <c r="BV48" i="58"/>
  <c r="BU48" i="58"/>
  <c r="BS48" i="58"/>
  <c r="BP48" i="58"/>
  <c r="BL48" i="58"/>
  <c r="BK48" i="58"/>
  <c r="BG48" i="58"/>
  <c r="BH48" i="58" s="1"/>
  <c r="BC48" i="58"/>
  <c r="CM8" i="58"/>
  <c r="CK8" i="58"/>
  <c r="CF8" i="58"/>
  <c r="CG8" i="58" s="1"/>
  <c r="BV8" i="58"/>
  <c r="BU8" i="58"/>
  <c r="BS8" i="58"/>
  <c r="BP8" i="58"/>
  <c r="BL8" i="58"/>
  <c r="BK8" i="58"/>
  <c r="BG8" i="58"/>
  <c r="BH8" i="58" s="1"/>
  <c r="BC8" i="58"/>
  <c r="BD8" i="58" s="1"/>
  <c r="CM100" i="58"/>
  <c r="CK100" i="58"/>
  <c r="CF100" i="58"/>
  <c r="CG100" i="58" s="1"/>
  <c r="BV100" i="58"/>
  <c r="BU100" i="58"/>
  <c r="BS100" i="58"/>
  <c r="BP100" i="58"/>
  <c r="BL100" i="58"/>
  <c r="BK100" i="58"/>
  <c r="BG100" i="58"/>
  <c r="BH100" i="58" s="1"/>
  <c r="BC100" i="58"/>
  <c r="CM62" i="58"/>
  <c r="CK62" i="58"/>
  <c r="CF62" i="58"/>
  <c r="CG62" i="58" s="1"/>
  <c r="BV62" i="58"/>
  <c r="BU62" i="58"/>
  <c r="BS62" i="58"/>
  <c r="BP62" i="58"/>
  <c r="BL62" i="58"/>
  <c r="BK62" i="58"/>
  <c r="BG62" i="58"/>
  <c r="BH62" i="58" s="1"/>
  <c r="BC62" i="58"/>
  <c r="BD62" i="58" s="1"/>
  <c r="CM61" i="58"/>
  <c r="CK61" i="58"/>
  <c r="CF61" i="58"/>
  <c r="CG61" i="58" s="1"/>
  <c r="BV61" i="58"/>
  <c r="BU61" i="58"/>
  <c r="BS61" i="58"/>
  <c r="BP61" i="58"/>
  <c r="BL61" i="58"/>
  <c r="BK61" i="58"/>
  <c r="BG61" i="58"/>
  <c r="BH61" i="58" s="1"/>
  <c r="BC61" i="58"/>
  <c r="CM103" i="58"/>
  <c r="CK103" i="58"/>
  <c r="CF103" i="58"/>
  <c r="CG103" i="58" s="1"/>
  <c r="BV103" i="58"/>
  <c r="BU103" i="58"/>
  <c r="BS103" i="58"/>
  <c r="BP103" i="58"/>
  <c r="BL103" i="58"/>
  <c r="BK103" i="58"/>
  <c r="BG103" i="58"/>
  <c r="BH103" i="58" s="1"/>
  <c r="BC103" i="58"/>
  <c r="BD103" i="58" s="1"/>
  <c r="CM96" i="58"/>
  <c r="CK96" i="58"/>
  <c r="CF96" i="58"/>
  <c r="CG96" i="58" s="1"/>
  <c r="BV96" i="58"/>
  <c r="BU96" i="58"/>
  <c r="BS96" i="58"/>
  <c r="BP96" i="58"/>
  <c r="BL96" i="58"/>
  <c r="BK96" i="58"/>
  <c r="BG96" i="58"/>
  <c r="BH96" i="58" s="1"/>
  <c r="BC96" i="58"/>
  <c r="CM93" i="58"/>
  <c r="CK93" i="58"/>
  <c r="CF93" i="58"/>
  <c r="CG93" i="58" s="1"/>
  <c r="BV93" i="58"/>
  <c r="BU93" i="58"/>
  <c r="BS93" i="58"/>
  <c r="BP93" i="58"/>
  <c r="BL93" i="58"/>
  <c r="BK93" i="58"/>
  <c r="BG93" i="58"/>
  <c r="BH93" i="58" s="1"/>
  <c r="BC93" i="58"/>
  <c r="BD93" i="58" s="1"/>
  <c r="CM91" i="58"/>
  <c r="CK91" i="58"/>
  <c r="CF91" i="58"/>
  <c r="CG91" i="58" s="1"/>
  <c r="BV91" i="58"/>
  <c r="BU91" i="58"/>
  <c r="BS91" i="58"/>
  <c r="BP91" i="58"/>
  <c r="BL91" i="58"/>
  <c r="BK91" i="58"/>
  <c r="BG91" i="58"/>
  <c r="BH91" i="58" s="1"/>
  <c r="BC91" i="58"/>
  <c r="CM90" i="58"/>
  <c r="CK90" i="58"/>
  <c r="CF90" i="58"/>
  <c r="CG90" i="58" s="1"/>
  <c r="BV90" i="58"/>
  <c r="BU90" i="58"/>
  <c r="BS90" i="58"/>
  <c r="BP90" i="58"/>
  <c r="BL90" i="58"/>
  <c r="BK90" i="58"/>
  <c r="BG90" i="58"/>
  <c r="BH90" i="58" s="1"/>
  <c r="BC90" i="58"/>
  <c r="BD90" i="58" s="1"/>
  <c r="CM89" i="58"/>
  <c r="CK89" i="58"/>
  <c r="CF89" i="58"/>
  <c r="CG89" i="58" s="1"/>
  <c r="BV89" i="58"/>
  <c r="BU89" i="58"/>
  <c r="BS89" i="58"/>
  <c r="BP89" i="58"/>
  <c r="BL89" i="58"/>
  <c r="BK89" i="58"/>
  <c r="BG89" i="58"/>
  <c r="BH89" i="58" s="1"/>
  <c r="BC89" i="58"/>
  <c r="CM88" i="58"/>
  <c r="CK88" i="58"/>
  <c r="CF88" i="58"/>
  <c r="CG88" i="58" s="1"/>
  <c r="BV88" i="58"/>
  <c r="BU88" i="58"/>
  <c r="BS88" i="58"/>
  <c r="BP88" i="58"/>
  <c r="BL88" i="58"/>
  <c r="BK88" i="58"/>
  <c r="BG88" i="58"/>
  <c r="BH88" i="58" s="1"/>
  <c r="BC88" i="58"/>
  <c r="BD88" i="58" s="1"/>
  <c r="CM87" i="58"/>
  <c r="CK87" i="58"/>
  <c r="CF87" i="58"/>
  <c r="CG87" i="58" s="1"/>
  <c r="BV87" i="58"/>
  <c r="BU87" i="58"/>
  <c r="BS87" i="58"/>
  <c r="BP87" i="58"/>
  <c r="BL87" i="58"/>
  <c r="BK87" i="58"/>
  <c r="BG87" i="58"/>
  <c r="BH87" i="58" s="1"/>
  <c r="BC87" i="58"/>
  <c r="CM86" i="58"/>
  <c r="CK86" i="58"/>
  <c r="CF86" i="58"/>
  <c r="CG86" i="58" s="1"/>
  <c r="BV86" i="58"/>
  <c r="BU86" i="58"/>
  <c r="BS86" i="58"/>
  <c r="BP86" i="58"/>
  <c r="BL86" i="58"/>
  <c r="BK86" i="58"/>
  <c r="BG86" i="58"/>
  <c r="BH86" i="58" s="1"/>
  <c r="BC86" i="58"/>
  <c r="BD86" i="58" s="1"/>
  <c r="CM85" i="58"/>
  <c r="CK85" i="58"/>
  <c r="CF85" i="58"/>
  <c r="CG85" i="58" s="1"/>
  <c r="BV85" i="58"/>
  <c r="BU85" i="58"/>
  <c r="BS85" i="58"/>
  <c r="BP85" i="58"/>
  <c r="BL85" i="58"/>
  <c r="BK85" i="58"/>
  <c r="BG85" i="58"/>
  <c r="BH85" i="58" s="1"/>
  <c r="BC85" i="58"/>
  <c r="CM81" i="58"/>
  <c r="CK81" i="58"/>
  <c r="CF81" i="58"/>
  <c r="CG81" i="58" s="1"/>
  <c r="BV81" i="58"/>
  <c r="BU81" i="58"/>
  <c r="BS81" i="58"/>
  <c r="BP81" i="58"/>
  <c r="BL81" i="58"/>
  <c r="BK81" i="58"/>
  <c r="BG81" i="58"/>
  <c r="BH81" i="58" s="1"/>
  <c r="BC81" i="58"/>
  <c r="BD81" i="58" s="1"/>
  <c r="CM15" i="58"/>
  <c r="CK15" i="58"/>
  <c r="CF15" i="58"/>
  <c r="CG15" i="58" s="1"/>
  <c r="BV15" i="58"/>
  <c r="BU15" i="58"/>
  <c r="BS15" i="58"/>
  <c r="BP15" i="58"/>
  <c r="BL15" i="58"/>
  <c r="BK15" i="58"/>
  <c r="BG15" i="58"/>
  <c r="BH15" i="58" s="1"/>
  <c r="BC15" i="58"/>
  <c r="CM14" i="58"/>
  <c r="CK14" i="58"/>
  <c r="CF14" i="58"/>
  <c r="CG14" i="58" s="1"/>
  <c r="BV14" i="58"/>
  <c r="BU14" i="58"/>
  <c r="BS14" i="58"/>
  <c r="BP14" i="58"/>
  <c r="BL14" i="58"/>
  <c r="BK14" i="58"/>
  <c r="BG14" i="58"/>
  <c r="BH14" i="58" s="1"/>
  <c r="BC14" i="58"/>
  <c r="BD14" i="58" s="1"/>
  <c r="CM13" i="58"/>
  <c r="CK13" i="58"/>
  <c r="CF13" i="58"/>
  <c r="CG13" i="58" s="1"/>
  <c r="BV13" i="58"/>
  <c r="BU13" i="58"/>
  <c r="BS13" i="58"/>
  <c r="BP13" i="58"/>
  <c r="BL13" i="58"/>
  <c r="BK13" i="58"/>
  <c r="BG13" i="58"/>
  <c r="BH13" i="58" s="1"/>
  <c r="BC13" i="58"/>
  <c r="CM5" i="58"/>
  <c r="CK5" i="58"/>
  <c r="CF5" i="58"/>
  <c r="CG5" i="58" s="1"/>
  <c r="BV5" i="58"/>
  <c r="BU5" i="58"/>
  <c r="BS5" i="58"/>
  <c r="BP5" i="58"/>
  <c r="BL5" i="58"/>
  <c r="BK5" i="58"/>
  <c r="BG5" i="58"/>
  <c r="BH5" i="58" s="1"/>
  <c r="BC5" i="58"/>
  <c r="BD5" i="58" s="1"/>
  <c r="CM6" i="58"/>
  <c r="CK6" i="58"/>
  <c r="CF6" i="58"/>
  <c r="CG6" i="58" s="1"/>
  <c r="BV6" i="58"/>
  <c r="BU6" i="58"/>
  <c r="BS6" i="58"/>
  <c r="BP6" i="58"/>
  <c r="BL6" i="58"/>
  <c r="BK6" i="58"/>
  <c r="BG6" i="58"/>
  <c r="BH6" i="58" s="1"/>
  <c r="BC6" i="58"/>
  <c r="CM148" i="58"/>
  <c r="CK148" i="58"/>
  <c r="CF148" i="58"/>
  <c r="CG148" i="58" s="1"/>
  <c r="BV148" i="58"/>
  <c r="BU148" i="58"/>
  <c r="BS148" i="58"/>
  <c r="BP148" i="58"/>
  <c r="BL148" i="58"/>
  <c r="BK148" i="58"/>
  <c r="BG148" i="58"/>
  <c r="BH148" i="58" s="1"/>
  <c r="BC148" i="58"/>
  <c r="BD148" i="58" s="1"/>
  <c r="CM147" i="58"/>
  <c r="CK147" i="58"/>
  <c r="CF147" i="58"/>
  <c r="CG147" i="58" s="1"/>
  <c r="BV147" i="58"/>
  <c r="BU147" i="58"/>
  <c r="BS147" i="58"/>
  <c r="BP147" i="58"/>
  <c r="BL147" i="58"/>
  <c r="BK147" i="58"/>
  <c r="BG147" i="58"/>
  <c r="BH147" i="58" s="1"/>
  <c r="BC147" i="58"/>
  <c r="CM99" i="58"/>
  <c r="CK99" i="58"/>
  <c r="CF99" i="58"/>
  <c r="CG99" i="58" s="1"/>
  <c r="BV99" i="58"/>
  <c r="BU99" i="58"/>
  <c r="BS99" i="58"/>
  <c r="BP99" i="58"/>
  <c r="BL99" i="58"/>
  <c r="BK99" i="58"/>
  <c r="BG99" i="58"/>
  <c r="BH99" i="58" s="1"/>
  <c r="BC99" i="58"/>
  <c r="CM98" i="58"/>
  <c r="CK98" i="58"/>
  <c r="CF98" i="58"/>
  <c r="CG98" i="58" s="1"/>
  <c r="BV98" i="58"/>
  <c r="BU98" i="58"/>
  <c r="BS98" i="58"/>
  <c r="BP98" i="58"/>
  <c r="BL98" i="58"/>
  <c r="BK98" i="58"/>
  <c r="BG98" i="58"/>
  <c r="BH98" i="58" s="1"/>
  <c r="BC98" i="58"/>
  <c r="BD98" i="58" s="1"/>
  <c r="CM95" i="58"/>
  <c r="CK95" i="58"/>
  <c r="CF95" i="58"/>
  <c r="CG95" i="58" s="1"/>
  <c r="BV95" i="58"/>
  <c r="BU95" i="58"/>
  <c r="BS95" i="58"/>
  <c r="BP95" i="58"/>
  <c r="BL95" i="58"/>
  <c r="BK95" i="58"/>
  <c r="BG95" i="58"/>
  <c r="BH95" i="58" s="1"/>
  <c r="BC95" i="58"/>
  <c r="CM83" i="58"/>
  <c r="CK83" i="58"/>
  <c r="CF83" i="58"/>
  <c r="CG83" i="58" s="1"/>
  <c r="BV83" i="58"/>
  <c r="BU83" i="58"/>
  <c r="BS83" i="58"/>
  <c r="BP83" i="58"/>
  <c r="BL83" i="58"/>
  <c r="BK83" i="58"/>
  <c r="BG83" i="58"/>
  <c r="BH83" i="58" s="1"/>
  <c r="BC83" i="58"/>
  <c r="BD83" i="58" s="1"/>
  <c r="CM82" i="58"/>
  <c r="CK82" i="58"/>
  <c r="CF82" i="58"/>
  <c r="CG82" i="58" s="1"/>
  <c r="BV82" i="58"/>
  <c r="BU82" i="58"/>
  <c r="BS82" i="58"/>
  <c r="BP82" i="58"/>
  <c r="BL82" i="58"/>
  <c r="BK82" i="58"/>
  <c r="BG82" i="58"/>
  <c r="BH82" i="58" s="1"/>
  <c r="BC82" i="58"/>
  <c r="CM79" i="58"/>
  <c r="CK79" i="58"/>
  <c r="CF79" i="58"/>
  <c r="CG79" i="58" s="1"/>
  <c r="BV79" i="58"/>
  <c r="BU79" i="58"/>
  <c r="BS79" i="58"/>
  <c r="BP79" i="58"/>
  <c r="BL79" i="58"/>
  <c r="BK79" i="58"/>
  <c r="BG79" i="58"/>
  <c r="BH79" i="58" s="1"/>
  <c r="BC79" i="58"/>
  <c r="CM78" i="58"/>
  <c r="CK78" i="58"/>
  <c r="CF78" i="58"/>
  <c r="CG78" i="58" s="1"/>
  <c r="BV78" i="58"/>
  <c r="BU78" i="58"/>
  <c r="BS78" i="58"/>
  <c r="BP78" i="58"/>
  <c r="BL78" i="58"/>
  <c r="BK78" i="58"/>
  <c r="BG78" i="58"/>
  <c r="BH78" i="58" s="1"/>
  <c r="BC78" i="58"/>
  <c r="BD78" i="58" s="1"/>
  <c r="CM65" i="58"/>
  <c r="CK65" i="58"/>
  <c r="CF65" i="58"/>
  <c r="CG65" i="58" s="1"/>
  <c r="BV65" i="58"/>
  <c r="BU65" i="58"/>
  <c r="BS65" i="58"/>
  <c r="BP65" i="58"/>
  <c r="BL65" i="58"/>
  <c r="BK65" i="58"/>
  <c r="BG65" i="58"/>
  <c r="BH65" i="58" s="1"/>
  <c r="BC65" i="58"/>
  <c r="CM16" i="58"/>
  <c r="CK16" i="58"/>
  <c r="CF16" i="58"/>
  <c r="CG16" i="58" s="1"/>
  <c r="BV16" i="58"/>
  <c r="BU16" i="58"/>
  <c r="BS16" i="58"/>
  <c r="BP16" i="58"/>
  <c r="BL16" i="58"/>
  <c r="BK16" i="58"/>
  <c r="BG16" i="58"/>
  <c r="BH16" i="58" s="1"/>
  <c r="BC16" i="58"/>
  <c r="BD16" i="58" s="1"/>
  <c r="CM12" i="58"/>
  <c r="CK12" i="58"/>
  <c r="CF12" i="58"/>
  <c r="CG12" i="58" s="1"/>
  <c r="BV12" i="58"/>
  <c r="BU12" i="58"/>
  <c r="BS12" i="58"/>
  <c r="BP12" i="58"/>
  <c r="BL12" i="58"/>
  <c r="BK12" i="58"/>
  <c r="BG12" i="58"/>
  <c r="BH12" i="58" s="1"/>
  <c r="BC12" i="58"/>
  <c r="CM11" i="58"/>
  <c r="CK11" i="58"/>
  <c r="CF11" i="58"/>
  <c r="CG11" i="58" s="1"/>
  <c r="BV11" i="58"/>
  <c r="BU11" i="58"/>
  <c r="BS11" i="58"/>
  <c r="BP11" i="58"/>
  <c r="BL11" i="58"/>
  <c r="BK11" i="58"/>
  <c r="BG11" i="58"/>
  <c r="BH11" i="58" s="1"/>
  <c r="BC11" i="58"/>
  <c r="BD11" i="58" s="1"/>
  <c r="CM10" i="58"/>
  <c r="CK10" i="58"/>
  <c r="CF10" i="58"/>
  <c r="CG10" i="58" s="1"/>
  <c r="BV10" i="58"/>
  <c r="BU10" i="58"/>
  <c r="BS10" i="58"/>
  <c r="BP10" i="58"/>
  <c r="BL10" i="58"/>
  <c r="BK10" i="58"/>
  <c r="BG10" i="58"/>
  <c r="BH10" i="58" s="1"/>
  <c r="BC10" i="58"/>
  <c r="CM9" i="58"/>
  <c r="CK9" i="58"/>
  <c r="CF9" i="58"/>
  <c r="CG9" i="58" s="1"/>
  <c r="BV9" i="58"/>
  <c r="BU9" i="58"/>
  <c r="BS9" i="58"/>
  <c r="BP9" i="58"/>
  <c r="BL9" i="58"/>
  <c r="BK9" i="58"/>
  <c r="BG9" i="58"/>
  <c r="BH9" i="58" s="1"/>
  <c r="BC9" i="58"/>
  <c r="BD9" i="58" s="1"/>
  <c r="CM7" i="58"/>
  <c r="CK7" i="58"/>
  <c r="CF7" i="58"/>
  <c r="CG7" i="58" s="1"/>
  <c r="BV7" i="58"/>
  <c r="BU7" i="58"/>
  <c r="BS7" i="58"/>
  <c r="BP7" i="58"/>
  <c r="BL7" i="58"/>
  <c r="BK7" i="58"/>
  <c r="BG7" i="58"/>
  <c r="BH7" i="58" s="1"/>
  <c r="BC7" i="58"/>
  <c r="CM176" i="58"/>
  <c r="CK176" i="58"/>
  <c r="CF176" i="58"/>
  <c r="CG176" i="58" s="1"/>
  <c r="BV176" i="58"/>
  <c r="BU176" i="58"/>
  <c r="BS176" i="58"/>
  <c r="BP176" i="58"/>
  <c r="BL176" i="58"/>
  <c r="BK176" i="58"/>
  <c r="BG176" i="58"/>
  <c r="BH176" i="58" s="1"/>
  <c r="BC176" i="58"/>
  <c r="BD176" i="58" s="1"/>
  <c r="CM175" i="58"/>
  <c r="CK175" i="58"/>
  <c r="CF175" i="58"/>
  <c r="CG175" i="58" s="1"/>
  <c r="BV175" i="58"/>
  <c r="BU175" i="58"/>
  <c r="BS175" i="58"/>
  <c r="BP175" i="58"/>
  <c r="BL175" i="58"/>
  <c r="BK175" i="58"/>
  <c r="BG175" i="58"/>
  <c r="BH175" i="58" s="1"/>
  <c r="BC175" i="58"/>
  <c r="CM174" i="58"/>
  <c r="CK174" i="58"/>
  <c r="CF174" i="58"/>
  <c r="CG174" i="58" s="1"/>
  <c r="BV174" i="58"/>
  <c r="BU174" i="58"/>
  <c r="BS174" i="58"/>
  <c r="BP174" i="58"/>
  <c r="BL174" i="58"/>
  <c r="BK174" i="58"/>
  <c r="BG174" i="58"/>
  <c r="BH174" i="58" s="1"/>
  <c r="BC174" i="58"/>
  <c r="BD174" i="58" s="1"/>
  <c r="CM173" i="58"/>
  <c r="CK173" i="58"/>
  <c r="CF173" i="58"/>
  <c r="CG173" i="58" s="1"/>
  <c r="BV173" i="58"/>
  <c r="BU173" i="58"/>
  <c r="BS173" i="58"/>
  <c r="BP173" i="58"/>
  <c r="BL173" i="58"/>
  <c r="BK173" i="58"/>
  <c r="BG173" i="58"/>
  <c r="BH173" i="58" s="1"/>
  <c r="BC173" i="58"/>
  <c r="CM172" i="58"/>
  <c r="CK172" i="58"/>
  <c r="CF172" i="58"/>
  <c r="CG172" i="58" s="1"/>
  <c r="BV172" i="58"/>
  <c r="BU172" i="58"/>
  <c r="BS172" i="58"/>
  <c r="BP172" i="58"/>
  <c r="BL172" i="58"/>
  <c r="BK172" i="58"/>
  <c r="BG172" i="58"/>
  <c r="BH172" i="58" s="1"/>
  <c r="BC172" i="58"/>
  <c r="BD172" i="58" s="1"/>
  <c r="CM171" i="58"/>
  <c r="CK171" i="58"/>
  <c r="CF171" i="58"/>
  <c r="CG171" i="58" s="1"/>
  <c r="BV171" i="58"/>
  <c r="BU171" i="58"/>
  <c r="BS171" i="58"/>
  <c r="BP171" i="58"/>
  <c r="BL171" i="58"/>
  <c r="BK171" i="58"/>
  <c r="BG171" i="58"/>
  <c r="BH171" i="58" s="1"/>
  <c r="BC171" i="58"/>
  <c r="CM170" i="58"/>
  <c r="CK170" i="58"/>
  <c r="CF170" i="58"/>
  <c r="CG170" i="58" s="1"/>
  <c r="BV170" i="58"/>
  <c r="BU170" i="58"/>
  <c r="BS170" i="58"/>
  <c r="BP170" i="58"/>
  <c r="BL170" i="58"/>
  <c r="BK170" i="58"/>
  <c r="BG170" i="58"/>
  <c r="BH170" i="58" s="1"/>
  <c r="BC170" i="58"/>
  <c r="BD170" i="58" s="1"/>
  <c r="CM169" i="58"/>
  <c r="CK169" i="58"/>
  <c r="CF169" i="58"/>
  <c r="CG169" i="58" s="1"/>
  <c r="BV169" i="58"/>
  <c r="BU169" i="58"/>
  <c r="BS169" i="58"/>
  <c r="BP169" i="58"/>
  <c r="BL169" i="58"/>
  <c r="BK169" i="58"/>
  <c r="BG169" i="58"/>
  <c r="BH169" i="58" s="1"/>
  <c r="BC169" i="58"/>
  <c r="CM168" i="58"/>
  <c r="CK168" i="58"/>
  <c r="CF168" i="58"/>
  <c r="CG168" i="58" s="1"/>
  <c r="BV168" i="58"/>
  <c r="BU168" i="58"/>
  <c r="BS168" i="58"/>
  <c r="BP168" i="58"/>
  <c r="BL168" i="58"/>
  <c r="BK168" i="58"/>
  <c r="BG168" i="58"/>
  <c r="BH168" i="58" s="1"/>
  <c r="BC168" i="58"/>
  <c r="BD168" i="58" s="1"/>
  <c r="CM167" i="58"/>
  <c r="CK167" i="58"/>
  <c r="CF167" i="58"/>
  <c r="CG167" i="58" s="1"/>
  <c r="BV167" i="58"/>
  <c r="BU167" i="58"/>
  <c r="BS167" i="58"/>
  <c r="BP167" i="58"/>
  <c r="BL167" i="58"/>
  <c r="BK167" i="58"/>
  <c r="BG167" i="58"/>
  <c r="BH167" i="58" s="1"/>
  <c r="BC167" i="58"/>
  <c r="CM166" i="58"/>
  <c r="CK166" i="58"/>
  <c r="CF166" i="58"/>
  <c r="CG166" i="58" s="1"/>
  <c r="BV166" i="58"/>
  <c r="BU166" i="58"/>
  <c r="BS166" i="58"/>
  <c r="BP166" i="58"/>
  <c r="BL166" i="58"/>
  <c r="BK166" i="58"/>
  <c r="BG166" i="58"/>
  <c r="BH166" i="58" s="1"/>
  <c r="BC166" i="58"/>
  <c r="BD166" i="58" s="1"/>
  <c r="CM165" i="58"/>
  <c r="CK165" i="58"/>
  <c r="CF165" i="58"/>
  <c r="CG165" i="58" s="1"/>
  <c r="BV165" i="58"/>
  <c r="BU165" i="58"/>
  <c r="BS165" i="58"/>
  <c r="BP165" i="58"/>
  <c r="BL165" i="58"/>
  <c r="BK165" i="58"/>
  <c r="BG165" i="58"/>
  <c r="BH165" i="58" s="1"/>
  <c r="BC165" i="58"/>
  <c r="CM164" i="58"/>
  <c r="CK164" i="58"/>
  <c r="CF164" i="58"/>
  <c r="CG164" i="58" s="1"/>
  <c r="BV164" i="58"/>
  <c r="BU164" i="58"/>
  <c r="BS164" i="58"/>
  <c r="BP164" i="58"/>
  <c r="BL164" i="58"/>
  <c r="BK164" i="58"/>
  <c r="BG164" i="58"/>
  <c r="BH164" i="58" s="1"/>
  <c r="BC164" i="58"/>
  <c r="BD164" i="58" s="1"/>
  <c r="CM163" i="58"/>
  <c r="CK163" i="58"/>
  <c r="CF163" i="58"/>
  <c r="CG163" i="58" s="1"/>
  <c r="BV163" i="58"/>
  <c r="BU163" i="58"/>
  <c r="BS163" i="58"/>
  <c r="BP163" i="58"/>
  <c r="BL163" i="58"/>
  <c r="BK163" i="58"/>
  <c r="BG163" i="58"/>
  <c r="BH163" i="58" s="1"/>
  <c r="BC163" i="58"/>
  <c r="BD163" i="58" s="1"/>
  <c r="CM162" i="58"/>
  <c r="CK162" i="58"/>
  <c r="CF162" i="58"/>
  <c r="CG162" i="58" s="1"/>
  <c r="BV162" i="58"/>
  <c r="BU162" i="58"/>
  <c r="BS162" i="58"/>
  <c r="BP162" i="58"/>
  <c r="BL162" i="58"/>
  <c r="BK162" i="58"/>
  <c r="BG162" i="58"/>
  <c r="BH162" i="58" s="1"/>
  <c r="BC162" i="58"/>
  <c r="CM160" i="58"/>
  <c r="CK160" i="58"/>
  <c r="CF160" i="58"/>
  <c r="CG160" i="58" s="1"/>
  <c r="BV160" i="58"/>
  <c r="BU160" i="58"/>
  <c r="BS160" i="58"/>
  <c r="BP160" i="58"/>
  <c r="BL160" i="58"/>
  <c r="BK160" i="58"/>
  <c r="BG160" i="58"/>
  <c r="BH160" i="58" s="1"/>
  <c r="BC160" i="58"/>
  <c r="BD160" i="58" s="1"/>
  <c r="CM159" i="58"/>
  <c r="CK159" i="58"/>
  <c r="CF159" i="58"/>
  <c r="CG159" i="58" s="1"/>
  <c r="BV159" i="58"/>
  <c r="BU159" i="58"/>
  <c r="BS159" i="58"/>
  <c r="BP159" i="58"/>
  <c r="BL159" i="58"/>
  <c r="BK159" i="58"/>
  <c r="BG159" i="58"/>
  <c r="BH159" i="58" s="1"/>
  <c r="BC159" i="58"/>
  <c r="CM158" i="58"/>
  <c r="CK158" i="58"/>
  <c r="CF158" i="58"/>
  <c r="CG158" i="58" s="1"/>
  <c r="BV158" i="58"/>
  <c r="BU158" i="58"/>
  <c r="BS158" i="58"/>
  <c r="BP158" i="58"/>
  <c r="BL158" i="58"/>
  <c r="BK158" i="58"/>
  <c r="BG158" i="58"/>
  <c r="BH158" i="58" s="1"/>
  <c r="BC158" i="58"/>
  <c r="BD158" i="58" s="1"/>
  <c r="CM157" i="58"/>
  <c r="CK157" i="58"/>
  <c r="CF157" i="58"/>
  <c r="CG157" i="58" s="1"/>
  <c r="BV157" i="58"/>
  <c r="BU157" i="58"/>
  <c r="BS157" i="58"/>
  <c r="BP157" i="58"/>
  <c r="BL157" i="58"/>
  <c r="BK157" i="58"/>
  <c r="BG157" i="58"/>
  <c r="BH157" i="58" s="1"/>
  <c r="BC157" i="58"/>
  <c r="CM155" i="58"/>
  <c r="CK155" i="58"/>
  <c r="CF155" i="58"/>
  <c r="CG155" i="58" s="1"/>
  <c r="BV155" i="58"/>
  <c r="BU155" i="58"/>
  <c r="BS155" i="58"/>
  <c r="BP155" i="58"/>
  <c r="BL155" i="58"/>
  <c r="BK155" i="58"/>
  <c r="BG155" i="58"/>
  <c r="BH155" i="58" s="1"/>
  <c r="BC155" i="58"/>
  <c r="BD155" i="58" s="1"/>
  <c r="CM154" i="58"/>
  <c r="CK154" i="58"/>
  <c r="CF154" i="58"/>
  <c r="CG154" i="58" s="1"/>
  <c r="BV154" i="58"/>
  <c r="BU154" i="58"/>
  <c r="BS154" i="58"/>
  <c r="BP154" i="58"/>
  <c r="BL154" i="58"/>
  <c r="BK154" i="58"/>
  <c r="BG154" i="58"/>
  <c r="BH154" i="58" s="1"/>
  <c r="BC154" i="58"/>
  <c r="CM153" i="58"/>
  <c r="CK153" i="58"/>
  <c r="CF153" i="58"/>
  <c r="CG153" i="58" s="1"/>
  <c r="BV153" i="58"/>
  <c r="BU153" i="58"/>
  <c r="BS153" i="58"/>
  <c r="BP153" i="58"/>
  <c r="BL153" i="58"/>
  <c r="BK153" i="58"/>
  <c r="BG153" i="58"/>
  <c r="BH153" i="58" s="1"/>
  <c r="BC153" i="58"/>
  <c r="BD153" i="58" s="1"/>
  <c r="CM152" i="58"/>
  <c r="CK152" i="58"/>
  <c r="CF152" i="58"/>
  <c r="CG152" i="58" s="1"/>
  <c r="BV152" i="58"/>
  <c r="BU152" i="58"/>
  <c r="BS152" i="58"/>
  <c r="BP152" i="58"/>
  <c r="BL152" i="58"/>
  <c r="BK152" i="58"/>
  <c r="BG152" i="58"/>
  <c r="BH152" i="58" s="1"/>
  <c r="BC152" i="58"/>
  <c r="CM151" i="58"/>
  <c r="CK151" i="58"/>
  <c r="CF151" i="58"/>
  <c r="CG151" i="58" s="1"/>
  <c r="BV151" i="58"/>
  <c r="BU151" i="58"/>
  <c r="BS151" i="58"/>
  <c r="BP151" i="58"/>
  <c r="BL151" i="58"/>
  <c r="BK151" i="58"/>
  <c r="BG151" i="58"/>
  <c r="BH151" i="58" s="1"/>
  <c r="BC151" i="58"/>
  <c r="BD151" i="58" s="1"/>
  <c r="CM150" i="58"/>
  <c r="CK150" i="58"/>
  <c r="CF150" i="58"/>
  <c r="CG150" i="58" s="1"/>
  <c r="BV150" i="58"/>
  <c r="BU150" i="58"/>
  <c r="BS150" i="58"/>
  <c r="BP150" i="58"/>
  <c r="BL150" i="58"/>
  <c r="BK150" i="58"/>
  <c r="BG150" i="58"/>
  <c r="BH150" i="58" s="1"/>
  <c r="BC150" i="58"/>
  <c r="CM146" i="58"/>
  <c r="CK146" i="58"/>
  <c r="CF146" i="58"/>
  <c r="CG146" i="58" s="1"/>
  <c r="BV146" i="58"/>
  <c r="BU146" i="58"/>
  <c r="BS146" i="58"/>
  <c r="BP146" i="58"/>
  <c r="BL146" i="58"/>
  <c r="BK146" i="58"/>
  <c r="BG146" i="58"/>
  <c r="BH146" i="58" s="1"/>
  <c r="BC146" i="58"/>
  <c r="BD146" i="58" s="1"/>
  <c r="CM145" i="58"/>
  <c r="CK145" i="58"/>
  <c r="CF145" i="58"/>
  <c r="CG145" i="58" s="1"/>
  <c r="BV145" i="58"/>
  <c r="BU145" i="58"/>
  <c r="BS145" i="58"/>
  <c r="BP145" i="58"/>
  <c r="BL145" i="58"/>
  <c r="BK145" i="58"/>
  <c r="BG145" i="58"/>
  <c r="BH145" i="58" s="1"/>
  <c r="BC145" i="58"/>
  <c r="CM144" i="58"/>
  <c r="CK144" i="58"/>
  <c r="CF144" i="58"/>
  <c r="CG144" i="58" s="1"/>
  <c r="BV144" i="58"/>
  <c r="BU144" i="58"/>
  <c r="BS144" i="58"/>
  <c r="BP144" i="58"/>
  <c r="BL144" i="58"/>
  <c r="BK144" i="58"/>
  <c r="BG144" i="58"/>
  <c r="BH144" i="58" s="1"/>
  <c r="BC144" i="58"/>
  <c r="BD144" i="58" s="1"/>
  <c r="CM137" i="58"/>
  <c r="CK137" i="58"/>
  <c r="CF137" i="58"/>
  <c r="CG137" i="58" s="1"/>
  <c r="BV137" i="58"/>
  <c r="BU137" i="58"/>
  <c r="BS137" i="58"/>
  <c r="BP137" i="58"/>
  <c r="BL137" i="58"/>
  <c r="BK137" i="58"/>
  <c r="BG137" i="58"/>
  <c r="BH137" i="58" s="1"/>
  <c r="BC137" i="58"/>
  <c r="CM136" i="58"/>
  <c r="CK136" i="58"/>
  <c r="CF136" i="58"/>
  <c r="CG136" i="58" s="1"/>
  <c r="BV136" i="58"/>
  <c r="BU136" i="58"/>
  <c r="BS136" i="58"/>
  <c r="BP136" i="58"/>
  <c r="BL136" i="58"/>
  <c r="BK136" i="58"/>
  <c r="BG136" i="58"/>
  <c r="BH136" i="58" s="1"/>
  <c r="BC136" i="58"/>
  <c r="BD136" i="58" s="1"/>
  <c r="CM135" i="58"/>
  <c r="CK135" i="58"/>
  <c r="CF135" i="58"/>
  <c r="CG135" i="58" s="1"/>
  <c r="BV135" i="58"/>
  <c r="BU135" i="58"/>
  <c r="BS135" i="58"/>
  <c r="BP135" i="58"/>
  <c r="BL135" i="58"/>
  <c r="BK135" i="58"/>
  <c r="BG135" i="58"/>
  <c r="BH135" i="58" s="1"/>
  <c r="BC135" i="58"/>
  <c r="CM134" i="58"/>
  <c r="CK134" i="58"/>
  <c r="CF134" i="58"/>
  <c r="CG134" i="58" s="1"/>
  <c r="BV134" i="58"/>
  <c r="BU134" i="58"/>
  <c r="BS134" i="58"/>
  <c r="BP134" i="58"/>
  <c r="BL134" i="58"/>
  <c r="BK134" i="58"/>
  <c r="BG134" i="58"/>
  <c r="BH134" i="58" s="1"/>
  <c r="BC134" i="58"/>
  <c r="BD134" i="58" s="1"/>
  <c r="CM133" i="58"/>
  <c r="CK133" i="58"/>
  <c r="CF133" i="58"/>
  <c r="CG133" i="58" s="1"/>
  <c r="BV133" i="58"/>
  <c r="BU133" i="58"/>
  <c r="BS133" i="58"/>
  <c r="BP133" i="58"/>
  <c r="BL133" i="58"/>
  <c r="BK133" i="58"/>
  <c r="BG133" i="58"/>
  <c r="BH133" i="58" s="1"/>
  <c r="BC133" i="58"/>
  <c r="CM132" i="58"/>
  <c r="CK132" i="58"/>
  <c r="CF132" i="58"/>
  <c r="CG132" i="58" s="1"/>
  <c r="BV132" i="58"/>
  <c r="BU132" i="58"/>
  <c r="BS132" i="58"/>
  <c r="BP132" i="58"/>
  <c r="BL132" i="58"/>
  <c r="BK132" i="58"/>
  <c r="BG132" i="58"/>
  <c r="BH132" i="58" s="1"/>
  <c r="BC132" i="58"/>
  <c r="BD132" i="58" s="1"/>
  <c r="CM161" i="58"/>
  <c r="CK161" i="58"/>
  <c r="CF161" i="58"/>
  <c r="CG161" i="58" s="1"/>
  <c r="BV161" i="58"/>
  <c r="BU161" i="58"/>
  <c r="BS161" i="58"/>
  <c r="BP161" i="58"/>
  <c r="BL161" i="58"/>
  <c r="BK161" i="58"/>
  <c r="BG161" i="58"/>
  <c r="BH161" i="58" s="1"/>
  <c r="BC161" i="58"/>
  <c r="CM131" i="58"/>
  <c r="CK131" i="58"/>
  <c r="CF131" i="58"/>
  <c r="CG131" i="58" s="1"/>
  <c r="BV131" i="58"/>
  <c r="BU131" i="58"/>
  <c r="BS131" i="58"/>
  <c r="BP131" i="58"/>
  <c r="BL131" i="58"/>
  <c r="BK131" i="58"/>
  <c r="BG131" i="58"/>
  <c r="BH131" i="58" s="1"/>
  <c r="BC131" i="58"/>
  <c r="BD131" i="58" s="1"/>
  <c r="CM130" i="58"/>
  <c r="CK130" i="58"/>
  <c r="CF130" i="58"/>
  <c r="CG130" i="58" s="1"/>
  <c r="BV130" i="58"/>
  <c r="BU130" i="58"/>
  <c r="BS130" i="58"/>
  <c r="BP130" i="58"/>
  <c r="BL130" i="58"/>
  <c r="BK130" i="58"/>
  <c r="BG130" i="58"/>
  <c r="BH130" i="58" s="1"/>
  <c r="BC130" i="58"/>
  <c r="CM129" i="58"/>
  <c r="CK129" i="58"/>
  <c r="CF129" i="58"/>
  <c r="CG129" i="58" s="1"/>
  <c r="BV129" i="58"/>
  <c r="BU129" i="58"/>
  <c r="BS129" i="58"/>
  <c r="BP129" i="58"/>
  <c r="BL129" i="58"/>
  <c r="BK129" i="58"/>
  <c r="BG129" i="58"/>
  <c r="BH129" i="58" s="1"/>
  <c r="BC129" i="58"/>
  <c r="BD129" i="58" s="1"/>
  <c r="CM128" i="58"/>
  <c r="CK128" i="58"/>
  <c r="CF128" i="58"/>
  <c r="CG128" i="58" s="1"/>
  <c r="BV128" i="58"/>
  <c r="BU128" i="58"/>
  <c r="BS128" i="58"/>
  <c r="BP128" i="58"/>
  <c r="BL128" i="58"/>
  <c r="BK128" i="58"/>
  <c r="BG128" i="58"/>
  <c r="BH128" i="58" s="1"/>
  <c r="BC128" i="58"/>
  <c r="CM127" i="58"/>
  <c r="CK127" i="58"/>
  <c r="CF127" i="58"/>
  <c r="CG127" i="58" s="1"/>
  <c r="BV127" i="58"/>
  <c r="BU127" i="58"/>
  <c r="BS127" i="58"/>
  <c r="BP127" i="58"/>
  <c r="BL127" i="58"/>
  <c r="BK127" i="58"/>
  <c r="BG127" i="58"/>
  <c r="BH127" i="58" s="1"/>
  <c r="BC127" i="58"/>
  <c r="BD127" i="58" s="1"/>
  <c r="CM126" i="58"/>
  <c r="CK126" i="58"/>
  <c r="CF126" i="58"/>
  <c r="CG126" i="58" s="1"/>
  <c r="BV126" i="58"/>
  <c r="BU126" i="58"/>
  <c r="BS126" i="58"/>
  <c r="BP126" i="58"/>
  <c r="BL126" i="58"/>
  <c r="BK126" i="58"/>
  <c r="BG126" i="58"/>
  <c r="BH126" i="58" s="1"/>
  <c r="BC126" i="58"/>
  <c r="CM125" i="58"/>
  <c r="CK125" i="58"/>
  <c r="CF125" i="58"/>
  <c r="CG125" i="58" s="1"/>
  <c r="BV125" i="58"/>
  <c r="BU125" i="58"/>
  <c r="BS125" i="58"/>
  <c r="BP125" i="58"/>
  <c r="BL125" i="58"/>
  <c r="BK125" i="58"/>
  <c r="BG125" i="58"/>
  <c r="BH125" i="58" s="1"/>
  <c r="BC125" i="58"/>
  <c r="BD125" i="58" s="1"/>
  <c r="CM124" i="58"/>
  <c r="CK124" i="58"/>
  <c r="CF124" i="58"/>
  <c r="CG124" i="58" s="1"/>
  <c r="BV124" i="58"/>
  <c r="BU124" i="58"/>
  <c r="BS124" i="58"/>
  <c r="BP124" i="58"/>
  <c r="BL124" i="58"/>
  <c r="BK124" i="58"/>
  <c r="BG124" i="58"/>
  <c r="BH124" i="58" s="1"/>
  <c r="BC124" i="58"/>
  <c r="CM123" i="58"/>
  <c r="CK123" i="58"/>
  <c r="CF123" i="58"/>
  <c r="CG123" i="58" s="1"/>
  <c r="BV123" i="58"/>
  <c r="BU123" i="58"/>
  <c r="BS123" i="58"/>
  <c r="BP123" i="58"/>
  <c r="BL123" i="58"/>
  <c r="BK123" i="58"/>
  <c r="BG123" i="58"/>
  <c r="BH123" i="58" s="1"/>
  <c r="BC123" i="58"/>
  <c r="BD123" i="58" s="1"/>
  <c r="CM122" i="58"/>
  <c r="CK122" i="58"/>
  <c r="CF122" i="58"/>
  <c r="CG122" i="58" s="1"/>
  <c r="BV122" i="58"/>
  <c r="BU122" i="58"/>
  <c r="BS122" i="58"/>
  <c r="BP122" i="58"/>
  <c r="BL122" i="58"/>
  <c r="BK122" i="58"/>
  <c r="BG122" i="58"/>
  <c r="BH122" i="58" s="1"/>
  <c r="BC122" i="58"/>
  <c r="CM121" i="58"/>
  <c r="CK121" i="58"/>
  <c r="CF121" i="58"/>
  <c r="CG121" i="58" s="1"/>
  <c r="BV121" i="58"/>
  <c r="BU121" i="58"/>
  <c r="BS121" i="58"/>
  <c r="BP121" i="58"/>
  <c r="BL121" i="58"/>
  <c r="BK121" i="58"/>
  <c r="BG121" i="58"/>
  <c r="BH121" i="58" s="1"/>
  <c r="BC121" i="58"/>
  <c r="BD121" i="58" s="1"/>
  <c r="CM120" i="58"/>
  <c r="CK120" i="58"/>
  <c r="CF120" i="58"/>
  <c r="CG120" i="58" s="1"/>
  <c r="BV120" i="58"/>
  <c r="BU120" i="58"/>
  <c r="BS120" i="58"/>
  <c r="BP120" i="58"/>
  <c r="BL120" i="58"/>
  <c r="BK120" i="58"/>
  <c r="BG120" i="58"/>
  <c r="BH120" i="58" s="1"/>
  <c r="BC120" i="58"/>
  <c r="CM119" i="58"/>
  <c r="CK119" i="58"/>
  <c r="CF119" i="58"/>
  <c r="CG119" i="58" s="1"/>
  <c r="BV119" i="58"/>
  <c r="BU119" i="58"/>
  <c r="BS119" i="58"/>
  <c r="BP119" i="58"/>
  <c r="BL119" i="58"/>
  <c r="BK119" i="58"/>
  <c r="BG119" i="58"/>
  <c r="BH119" i="58" s="1"/>
  <c r="BC119" i="58"/>
  <c r="BD119" i="58" s="1"/>
  <c r="CM118" i="58"/>
  <c r="CK118" i="58"/>
  <c r="CF118" i="58"/>
  <c r="CG118" i="58" s="1"/>
  <c r="BV118" i="58"/>
  <c r="BU118" i="58"/>
  <c r="BS118" i="58"/>
  <c r="BP118" i="58"/>
  <c r="BL118" i="58"/>
  <c r="BK118" i="58"/>
  <c r="BG118" i="58"/>
  <c r="BH118" i="58" s="1"/>
  <c r="BC118" i="58"/>
  <c r="CM117" i="58"/>
  <c r="CK117" i="58"/>
  <c r="CF117" i="58"/>
  <c r="CG117" i="58" s="1"/>
  <c r="BV117" i="58"/>
  <c r="BU117" i="58"/>
  <c r="BS117" i="58"/>
  <c r="BP117" i="58"/>
  <c r="BL117" i="58"/>
  <c r="BK117" i="58"/>
  <c r="BG117" i="58"/>
  <c r="BH117" i="58" s="1"/>
  <c r="BC117" i="58"/>
  <c r="BD117" i="58" s="1"/>
  <c r="CM116" i="58"/>
  <c r="CK116" i="58"/>
  <c r="CF116" i="58"/>
  <c r="CG116" i="58" s="1"/>
  <c r="BV116" i="58"/>
  <c r="BU116" i="58"/>
  <c r="BS116" i="58"/>
  <c r="BP116" i="58"/>
  <c r="BL116" i="58"/>
  <c r="BK116" i="58"/>
  <c r="BG116" i="58"/>
  <c r="BH116" i="58" s="1"/>
  <c r="BC116" i="58"/>
  <c r="BD116" i="58" s="1"/>
  <c r="CM115" i="58"/>
  <c r="CK115" i="58"/>
  <c r="CF115" i="58"/>
  <c r="CG115" i="58" s="1"/>
  <c r="BV115" i="58"/>
  <c r="BU115" i="58"/>
  <c r="BS115" i="58"/>
  <c r="BP115" i="58"/>
  <c r="BL115" i="58"/>
  <c r="BK115" i="58"/>
  <c r="BG115" i="58"/>
  <c r="BH115" i="58" s="1"/>
  <c r="BC115" i="58"/>
  <c r="CM80" i="58"/>
  <c r="CK80" i="58"/>
  <c r="CF80" i="58"/>
  <c r="CG80" i="58" s="1"/>
  <c r="BV80" i="58"/>
  <c r="BU80" i="58"/>
  <c r="BS80" i="58"/>
  <c r="BP80" i="58"/>
  <c r="BL80" i="58"/>
  <c r="BK80" i="58"/>
  <c r="BG80" i="58"/>
  <c r="BH80" i="58" s="1"/>
  <c r="BC80" i="58"/>
  <c r="BD80" i="58" s="1"/>
  <c r="CM77" i="58"/>
  <c r="CK77" i="58"/>
  <c r="CF77" i="58"/>
  <c r="CG77" i="58" s="1"/>
  <c r="BV77" i="58"/>
  <c r="BU77" i="58"/>
  <c r="BS77" i="58"/>
  <c r="BP77" i="58"/>
  <c r="BL77" i="58"/>
  <c r="BK77" i="58"/>
  <c r="BG77" i="58"/>
  <c r="BH77" i="58" s="1"/>
  <c r="BC77" i="58"/>
  <c r="CM76" i="58"/>
  <c r="CK76" i="58"/>
  <c r="CF76" i="58"/>
  <c r="CG76" i="58" s="1"/>
  <c r="BV76" i="58"/>
  <c r="BU76" i="58"/>
  <c r="BS76" i="58"/>
  <c r="BP76" i="58"/>
  <c r="BL76" i="58"/>
  <c r="BK76" i="58"/>
  <c r="BG76" i="58"/>
  <c r="BH76" i="58" s="1"/>
  <c r="BC76" i="58"/>
  <c r="BD76" i="58" s="1"/>
  <c r="CM75" i="58"/>
  <c r="CK75" i="58"/>
  <c r="CF75" i="58"/>
  <c r="CG75" i="58" s="1"/>
  <c r="BV75" i="58"/>
  <c r="BU75" i="58"/>
  <c r="BS75" i="58"/>
  <c r="BP75" i="58"/>
  <c r="BL75" i="58"/>
  <c r="BK75" i="58"/>
  <c r="BG75" i="58"/>
  <c r="BH75" i="58" s="1"/>
  <c r="BC75" i="58"/>
  <c r="CM74" i="58"/>
  <c r="CK74" i="58"/>
  <c r="CF74" i="58"/>
  <c r="CG74" i="58" s="1"/>
  <c r="BV74" i="58"/>
  <c r="BU74" i="58"/>
  <c r="BS74" i="58"/>
  <c r="BP74" i="58"/>
  <c r="BL74" i="58"/>
  <c r="BK74" i="58"/>
  <c r="BG74" i="58"/>
  <c r="BH74" i="58" s="1"/>
  <c r="BC74" i="58"/>
  <c r="BD74" i="58" s="1"/>
  <c r="CM73" i="58"/>
  <c r="CK73" i="58"/>
  <c r="CF73" i="58"/>
  <c r="CG73" i="58" s="1"/>
  <c r="BV73" i="58"/>
  <c r="BU73" i="58"/>
  <c r="BS73" i="58"/>
  <c r="BP73" i="58"/>
  <c r="BL73" i="58"/>
  <c r="BK73" i="58"/>
  <c r="BG73" i="58"/>
  <c r="BH73" i="58" s="1"/>
  <c r="BC73" i="58"/>
  <c r="CM72" i="58"/>
  <c r="CK72" i="58"/>
  <c r="CF72" i="58"/>
  <c r="CG72" i="58" s="1"/>
  <c r="BV72" i="58"/>
  <c r="BU72" i="58"/>
  <c r="BS72" i="58"/>
  <c r="BP72" i="58"/>
  <c r="BL72" i="58"/>
  <c r="BK72" i="58"/>
  <c r="BG72" i="58"/>
  <c r="BH72" i="58" s="1"/>
  <c r="BC72" i="58"/>
  <c r="BD72" i="58" s="1"/>
  <c r="CM156" i="58"/>
  <c r="CK156" i="58"/>
  <c r="CF156" i="58"/>
  <c r="CG156" i="58" s="1"/>
  <c r="BV156" i="58"/>
  <c r="BU156" i="58"/>
  <c r="BS156" i="58"/>
  <c r="BP156" i="58"/>
  <c r="BL156" i="58"/>
  <c r="BK156" i="58"/>
  <c r="BG156" i="58"/>
  <c r="BH156" i="58" s="1"/>
  <c r="BC156" i="58"/>
  <c r="CM67" i="58"/>
  <c r="CK67" i="58"/>
  <c r="CF67" i="58"/>
  <c r="CG67" i="58" s="1"/>
  <c r="BV67" i="58"/>
  <c r="BU67" i="58"/>
  <c r="BS67" i="58"/>
  <c r="BP67" i="58"/>
  <c r="BL67" i="58"/>
  <c r="BK67" i="58"/>
  <c r="BG67" i="58"/>
  <c r="BH67" i="58" s="1"/>
  <c r="BC67" i="58"/>
  <c r="BD67" i="58" s="1"/>
  <c r="CM46" i="58"/>
  <c r="CK46" i="58"/>
  <c r="CF46" i="58"/>
  <c r="CG46" i="58" s="1"/>
  <c r="BV46" i="58"/>
  <c r="BU46" i="58"/>
  <c r="BS46" i="58"/>
  <c r="BP46" i="58"/>
  <c r="BL46" i="58"/>
  <c r="BK46" i="58"/>
  <c r="BG46" i="58"/>
  <c r="BH46" i="58" s="1"/>
  <c r="BC46" i="58"/>
  <c r="CM43" i="58"/>
  <c r="CK43" i="58"/>
  <c r="CF43" i="58"/>
  <c r="CG43" i="58" s="1"/>
  <c r="BV43" i="58"/>
  <c r="BU43" i="58"/>
  <c r="BS43" i="58"/>
  <c r="BP43" i="58"/>
  <c r="BL43" i="58"/>
  <c r="BK43" i="58"/>
  <c r="BG43" i="58"/>
  <c r="BH43" i="58" s="1"/>
  <c r="BC43" i="58"/>
  <c r="BD43" i="58" s="1"/>
  <c r="CM42" i="58"/>
  <c r="CK42" i="58"/>
  <c r="CF42" i="58"/>
  <c r="CG42" i="58" s="1"/>
  <c r="BV42" i="58"/>
  <c r="BU42" i="58"/>
  <c r="BS42" i="58"/>
  <c r="BP42" i="58"/>
  <c r="BL42" i="58"/>
  <c r="BK42" i="58"/>
  <c r="BG42" i="58"/>
  <c r="BH42" i="58" s="1"/>
  <c r="BC42" i="58"/>
  <c r="BD42" i="58" s="1"/>
  <c r="CM41" i="58"/>
  <c r="CK41" i="58"/>
  <c r="CF41" i="58"/>
  <c r="CG41" i="58" s="1"/>
  <c r="BV41" i="58"/>
  <c r="BU41" i="58"/>
  <c r="BS41" i="58"/>
  <c r="BP41" i="58"/>
  <c r="BL41" i="58"/>
  <c r="BK41" i="58"/>
  <c r="BG41" i="58"/>
  <c r="BH41" i="58" s="1"/>
  <c r="BC41" i="58"/>
  <c r="CM40" i="58"/>
  <c r="CK40" i="58"/>
  <c r="CF40" i="58"/>
  <c r="CG40" i="58" s="1"/>
  <c r="BV40" i="58"/>
  <c r="BU40" i="58"/>
  <c r="BS40" i="58"/>
  <c r="BP40" i="58"/>
  <c r="BL40" i="58"/>
  <c r="BK40" i="58"/>
  <c r="BG40" i="58"/>
  <c r="BH40" i="58" s="1"/>
  <c r="BC40" i="58"/>
  <c r="BD40" i="58" s="1"/>
  <c r="CM39" i="58"/>
  <c r="CK39" i="58"/>
  <c r="CF39" i="58"/>
  <c r="CG39" i="58" s="1"/>
  <c r="BV39" i="58"/>
  <c r="BU39" i="58"/>
  <c r="BS39" i="58"/>
  <c r="BP39" i="58"/>
  <c r="BL39" i="58"/>
  <c r="BK39" i="58"/>
  <c r="BG39" i="58"/>
  <c r="BH39" i="58" s="1"/>
  <c r="BC39" i="58"/>
  <c r="CM38" i="58"/>
  <c r="CK38" i="58"/>
  <c r="CF38" i="58"/>
  <c r="CG38" i="58" s="1"/>
  <c r="BV38" i="58"/>
  <c r="BU38" i="58"/>
  <c r="BS38" i="58"/>
  <c r="BP38" i="58"/>
  <c r="BL38" i="58"/>
  <c r="BK38" i="58"/>
  <c r="BG38" i="58"/>
  <c r="BH38" i="58" s="1"/>
  <c r="BC38" i="58"/>
  <c r="BD38" i="58" s="1"/>
  <c r="CM37" i="58"/>
  <c r="CK37" i="58"/>
  <c r="CF37" i="58"/>
  <c r="CG37" i="58" s="1"/>
  <c r="BV37" i="58"/>
  <c r="BU37" i="58"/>
  <c r="BS37" i="58"/>
  <c r="BP37" i="58"/>
  <c r="BL37" i="58"/>
  <c r="BK37" i="58"/>
  <c r="BG37" i="58"/>
  <c r="BH37" i="58" s="1"/>
  <c r="BC37" i="58"/>
  <c r="CM36" i="58"/>
  <c r="CK36" i="58"/>
  <c r="CF36" i="58"/>
  <c r="CG36" i="58" s="1"/>
  <c r="BV36" i="58"/>
  <c r="BU36" i="58"/>
  <c r="BS36" i="58"/>
  <c r="BP36" i="58"/>
  <c r="BL36" i="58"/>
  <c r="BK36" i="58"/>
  <c r="BG36" i="58"/>
  <c r="BH36" i="58" s="1"/>
  <c r="BC36" i="58"/>
  <c r="BD36" i="58" s="1"/>
  <c r="CM35" i="58"/>
  <c r="CK35" i="58"/>
  <c r="CF35" i="58"/>
  <c r="CG35" i="58" s="1"/>
  <c r="BV35" i="58"/>
  <c r="BU35" i="58"/>
  <c r="BS35" i="58"/>
  <c r="BP35" i="58"/>
  <c r="BL35" i="58"/>
  <c r="BK35" i="58"/>
  <c r="BG35" i="58"/>
  <c r="BH35" i="58" s="1"/>
  <c r="BC35" i="58"/>
  <c r="CM34" i="58"/>
  <c r="CK34" i="58"/>
  <c r="CF34" i="58"/>
  <c r="CG34" i="58" s="1"/>
  <c r="BV34" i="58"/>
  <c r="BU34" i="58"/>
  <c r="BS34" i="58"/>
  <c r="BP34" i="58"/>
  <c r="BL34" i="58"/>
  <c r="BK34" i="58"/>
  <c r="BG34" i="58"/>
  <c r="BH34" i="58" s="1"/>
  <c r="BC34" i="58"/>
  <c r="BD34" i="58" s="1"/>
  <c r="CM33" i="58"/>
  <c r="CK33" i="58"/>
  <c r="CF33" i="58"/>
  <c r="CG33" i="58" s="1"/>
  <c r="BV33" i="58"/>
  <c r="BU33" i="58"/>
  <c r="BS33" i="58"/>
  <c r="BP33" i="58"/>
  <c r="BL33" i="58"/>
  <c r="BK33" i="58"/>
  <c r="BG33" i="58"/>
  <c r="BH33" i="58" s="1"/>
  <c r="BC33" i="58"/>
  <c r="CM32" i="58"/>
  <c r="CK32" i="58"/>
  <c r="CF32" i="58"/>
  <c r="CG32" i="58" s="1"/>
  <c r="BV32" i="58"/>
  <c r="BU32" i="58"/>
  <c r="BS32" i="58"/>
  <c r="BP32" i="58"/>
  <c r="BL32" i="58"/>
  <c r="BK32" i="58"/>
  <c r="BG32" i="58"/>
  <c r="BH32" i="58" s="1"/>
  <c r="BC32" i="58"/>
  <c r="BD32" i="58" s="1"/>
  <c r="CM31" i="58"/>
  <c r="CK31" i="58"/>
  <c r="CF31" i="58"/>
  <c r="CG31" i="58" s="1"/>
  <c r="BV31" i="58"/>
  <c r="BU31" i="58"/>
  <c r="BS31" i="58"/>
  <c r="BP31" i="58"/>
  <c r="BL31" i="58"/>
  <c r="BK31" i="58"/>
  <c r="BG31" i="58"/>
  <c r="BH31" i="58" s="1"/>
  <c r="BC31" i="58"/>
  <c r="CM30" i="58"/>
  <c r="CK30" i="58"/>
  <c r="CF30" i="58"/>
  <c r="CG30" i="58" s="1"/>
  <c r="BV30" i="58"/>
  <c r="BU30" i="58"/>
  <c r="BS30" i="58"/>
  <c r="BP30" i="58"/>
  <c r="BL30" i="58"/>
  <c r="BK30" i="58"/>
  <c r="BG30" i="58"/>
  <c r="BH30" i="58" s="1"/>
  <c r="BC30" i="58"/>
  <c r="BD30" i="58" s="1"/>
  <c r="CM29" i="58"/>
  <c r="CK29" i="58"/>
  <c r="CF29" i="58"/>
  <c r="CG29" i="58" s="1"/>
  <c r="BV29" i="58"/>
  <c r="BU29" i="58"/>
  <c r="BS29" i="58"/>
  <c r="BP29" i="58"/>
  <c r="BL29" i="58"/>
  <c r="BK29" i="58"/>
  <c r="BG29" i="58"/>
  <c r="BH29" i="58" s="1"/>
  <c r="BC29" i="58"/>
  <c r="CM28" i="58"/>
  <c r="CK28" i="58"/>
  <c r="CF28" i="58"/>
  <c r="CG28" i="58" s="1"/>
  <c r="BV28" i="58"/>
  <c r="BU28" i="58"/>
  <c r="BS28" i="58"/>
  <c r="BP28" i="58"/>
  <c r="BL28" i="58"/>
  <c r="BK28" i="58"/>
  <c r="BG28" i="58"/>
  <c r="BH28" i="58" s="1"/>
  <c r="BC28" i="58"/>
  <c r="BD28" i="58" s="1"/>
  <c r="CM27" i="58"/>
  <c r="CK27" i="58"/>
  <c r="CF27" i="58"/>
  <c r="CG27" i="58" s="1"/>
  <c r="BV27" i="58"/>
  <c r="BU27" i="58"/>
  <c r="BS27" i="58"/>
  <c r="BP27" i="58"/>
  <c r="BL27" i="58"/>
  <c r="BK27" i="58"/>
  <c r="BG27" i="58"/>
  <c r="BH27" i="58" s="1"/>
  <c r="BC27" i="58"/>
  <c r="CM26" i="58"/>
  <c r="CK26" i="58"/>
  <c r="CF26" i="58"/>
  <c r="CG26" i="58" s="1"/>
  <c r="BV26" i="58"/>
  <c r="BU26" i="58"/>
  <c r="BS26" i="58"/>
  <c r="BP26" i="58"/>
  <c r="BL26" i="58"/>
  <c r="BK26" i="58"/>
  <c r="BG26" i="58"/>
  <c r="BH26" i="58" s="1"/>
  <c r="BC26" i="58"/>
  <c r="BD26" i="58" s="1"/>
  <c r="CM25" i="58"/>
  <c r="CK25" i="58"/>
  <c r="CF25" i="58"/>
  <c r="CG25" i="58" s="1"/>
  <c r="BV25" i="58"/>
  <c r="BU25" i="58"/>
  <c r="BS25" i="58"/>
  <c r="BP25" i="58"/>
  <c r="BL25" i="58"/>
  <c r="BK25" i="58"/>
  <c r="BG25" i="58"/>
  <c r="BH25" i="58" s="1"/>
  <c r="BC25" i="58"/>
  <c r="CM24" i="58"/>
  <c r="CK24" i="58"/>
  <c r="CF24" i="58"/>
  <c r="CG24" i="58" s="1"/>
  <c r="BV24" i="58"/>
  <c r="BU24" i="58"/>
  <c r="BS24" i="58"/>
  <c r="BP24" i="58"/>
  <c r="BL24" i="58"/>
  <c r="BK24" i="58"/>
  <c r="BG24" i="58"/>
  <c r="BH24" i="58" s="1"/>
  <c r="BC24" i="58"/>
  <c r="BD24" i="58" s="1"/>
  <c r="CM23" i="58"/>
  <c r="CK23" i="58"/>
  <c r="CF23" i="58"/>
  <c r="CG23" i="58" s="1"/>
  <c r="BV23" i="58"/>
  <c r="BU23" i="58"/>
  <c r="BS23" i="58"/>
  <c r="BP23" i="58"/>
  <c r="BL23" i="58"/>
  <c r="BK23" i="58"/>
  <c r="BG23" i="58"/>
  <c r="BH23" i="58" s="1"/>
  <c r="BC23" i="58"/>
  <c r="CM22" i="58"/>
  <c r="CK22" i="58"/>
  <c r="CF22" i="58"/>
  <c r="CG22" i="58" s="1"/>
  <c r="BV22" i="58"/>
  <c r="BU22" i="58"/>
  <c r="BS22" i="58"/>
  <c r="BP22" i="58"/>
  <c r="BL22" i="58"/>
  <c r="BK22" i="58"/>
  <c r="BG22" i="58"/>
  <c r="BH22" i="58" s="1"/>
  <c r="BC22" i="58"/>
  <c r="BD22" i="58" s="1"/>
  <c r="CM21" i="58"/>
  <c r="CK21" i="58"/>
  <c r="CF21" i="58"/>
  <c r="CG21" i="58" s="1"/>
  <c r="BV21" i="58"/>
  <c r="BU21" i="58"/>
  <c r="BS21" i="58"/>
  <c r="BP21" i="58"/>
  <c r="BL21" i="58"/>
  <c r="BK21" i="58"/>
  <c r="BG21" i="58"/>
  <c r="BH21" i="58" s="1"/>
  <c r="BC21" i="58"/>
  <c r="CM20" i="58"/>
  <c r="CK20" i="58"/>
  <c r="CF20" i="58"/>
  <c r="CG20" i="58" s="1"/>
  <c r="BV20" i="58"/>
  <c r="BU20" i="58"/>
  <c r="BS20" i="58"/>
  <c r="BP20" i="58"/>
  <c r="BL20" i="58"/>
  <c r="BK20" i="58"/>
  <c r="BG20" i="58"/>
  <c r="BH20" i="58" s="1"/>
  <c r="BC20" i="58"/>
  <c r="BD20" i="58" s="1"/>
  <c r="CM19" i="58"/>
  <c r="CK19" i="58"/>
  <c r="CF19" i="58"/>
  <c r="CG19" i="58" s="1"/>
  <c r="BV19" i="58"/>
  <c r="BU19" i="58"/>
  <c r="BS19" i="58"/>
  <c r="BP19" i="58"/>
  <c r="BL19" i="58"/>
  <c r="BK19" i="58"/>
  <c r="BG19" i="58"/>
  <c r="BH19" i="58" s="1"/>
  <c r="BC19" i="58"/>
  <c r="F11" i="57"/>
  <c r="D12" i="57" l="1"/>
  <c r="V32" i="63"/>
  <c r="O70" i="63"/>
  <c r="O66" i="63"/>
  <c r="BE109" i="58"/>
  <c r="BF109" i="58" s="1"/>
  <c r="BE84" i="58"/>
  <c r="BF84" i="58" s="1"/>
  <c r="BE97" i="58"/>
  <c r="BF97" i="58" s="1"/>
  <c r="E12" i="57"/>
  <c r="BE48" i="58"/>
  <c r="BF48" i="58" s="1"/>
  <c r="BE58" i="58"/>
  <c r="BF58" i="58" s="1"/>
  <c r="BE102" i="58"/>
  <c r="BF102" i="58" s="1"/>
  <c r="BE110" i="58"/>
  <c r="BF110" i="58" s="1"/>
  <c r="BE19" i="58"/>
  <c r="BF19" i="58" s="1"/>
  <c r="BE21" i="58"/>
  <c r="BF21" i="58" s="1"/>
  <c r="BE23" i="58"/>
  <c r="BF23" i="58" s="1"/>
  <c r="BE25" i="58"/>
  <c r="BF25" i="58" s="1"/>
  <c r="BE27" i="58"/>
  <c r="BF27" i="58" s="1"/>
  <c r="BE29" i="58"/>
  <c r="BF29" i="58" s="1"/>
  <c r="BE31" i="58"/>
  <c r="BF31" i="58" s="1"/>
  <c r="BE33" i="58"/>
  <c r="BF33" i="58" s="1"/>
  <c r="BE35" i="58"/>
  <c r="BF35" i="58" s="1"/>
  <c r="BE37" i="58"/>
  <c r="BF37" i="58" s="1"/>
  <c r="BE39" i="58"/>
  <c r="BF39" i="58" s="1"/>
  <c r="BE41" i="58"/>
  <c r="BF41" i="58" s="1"/>
  <c r="BE46" i="58"/>
  <c r="BF46" i="58" s="1"/>
  <c r="BE156" i="58"/>
  <c r="BF156" i="58" s="1"/>
  <c r="BE73" i="58"/>
  <c r="BF73" i="58" s="1"/>
  <c r="BE77" i="58"/>
  <c r="BF77" i="58" s="1"/>
  <c r="BE115" i="58"/>
  <c r="BF115" i="58" s="1"/>
  <c r="BE118" i="58"/>
  <c r="BF118" i="58" s="1"/>
  <c r="BE122" i="58"/>
  <c r="BF122" i="58" s="1"/>
  <c r="BE124" i="58"/>
  <c r="BF124" i="58" s="1"/>
  <c r="BE126" i="58"/>
  <c r="BF126" i="58" s="1"/>
  <c r="BE128" i="58"/>
  <c r="BF128" i="58" s="1"/>
  <c r="BE130" i="58"/>
  <c r="BF130" i="58" s="1"/>
  <c r="BE161" i="58"/>
  <c r="BF161" i="58" s="1"/>
  <c r="BE133" i="58"/>
  <c r="BF133" i="58" s="1"/>
  <c r="BE135" i="58"/>
  <c r="BF135" i="58" s="1"/>
  <c r="BE145" i="58"/>
  <c r="BF145" i="58" s="1"/>
  <c r="BE152" i="58"/>
  <c r="BF152" i="58" s="1"/>
  <c r="BE157" i="58"/>
  <c r="BF157" i="58" s="1"/>
  <c r="BE162" i="58"/>
  <c r="BF162" i="58" s="1"/>
  <c r="BE165" i="58"/>
  <c r="BF165" i="58" s="1"/>
  <c r="BE169" i="58"/>
  <c r="BF169" i="58" s="1"/>
  <c r="BE173" i="58"/>
  <c r="BF173" i="58" s="1"/>
  <c r="BE7" i="58"/>
  <c r="BF7" i="58" s="1"/>
  <c r="BE12" i="58"/>
  <c r="BF12" i="58" s="1"/>
  <c r="BE79" i="58"/>
  <c r="BF79" i="58" s="1"/>
  <c r="BE95" i="58"/>
  <c r="BF95" i="58" s="1"/>
  <c r="BE6" i="58"/>
  <c r="BF6" i="58" s="1"/>
  <c r="BE15" i="58"/>
  <c r="BF15" i="58" s="1"/>
  <c r="BE87" i="58"/>
  <c r="BF87" i="58" s="1"/>
  <c r="BE91" i="58"/>
  <c r="BF91" i="58" s="1"/>
  <c r="BE61" i="58"/>
  <c r="BF61" i="58" s="1"/>
  <c r="BD145" i="58"/>
  <c r="BD152" i="58"/>
  <c r="BD157" i="58"/>
  <c r="BD162" i="58"/>
  <c r="BD165" i="58"/>
  <c r="BD169" i="58"/>
  <c r="BD173" i="58"/>
  <c r="BD7" i="58"/>
  <c r="BD12" i="58"/>
  <c r="BD79" i="58"/>
  <c r="BD95" i="58"/>
  <c r="BD6" i="58"/>
  <c r="BD15" i="58"/>
  <c r="BD87" i="58"/>
  <c r="BD91" i="58"/>
  <c r="BD61" i="58"/>
  <c r="BD48" i="58"/>
  <c r="BD58" i="58"/>
  <c r="BD102" i="58"/>
  <c r="BD110" i="58"/>
  <c r="BE120" i="58"/>
  <c r="BF120" i="58" s="1"/>
  <c r="BD120" i="58"/>
  <c r="F8" i="57"/>
  <c r="BD19" i="58"/>
  <c r="BD25" i="58"/>
  <c r="BD33" i="58"/>
  <c r="BD37" i="58"/>
  <c r="BD41" i="58"/>
  <c r="BD156" i="58"/>
  <c r="BD77" i="58"/>
  <c r="BD126" i="58"/>
  <c r="BD130" i="58"/>
  <c r="BD133" i="58"/>
  <c r="BE136" i="58"/>
  <c r="BF136" i="58" s="1"/>
  <c r="BE137" i="58"/>
  <c r="BF137" i="58" s="1"/>
  <c r="BE150" i="58"/>
  <c r="BF150" i="58" s="1"/>
  <c r="BE154" i="58"/>
  <c r="BF154" i="58" s="1"/>
  <c r="BE159" i="58"/>
  <c r="BF159" i="58" s="1"/>
  <c r="BE167" i="58"/>
  <c r="BF167" i="58" s="1"/>
  <c r="BE171" i="58"/>
  <c r="BF171" i="58" s="1"/>
  <c r="BE175" i="58"/>
  <c r="BF175" i="58" s="1"/>
  <c r="BE10" i="58"/>
  <c r="BF10" i="58" s="1"/>
  <c r="BE65" i="58"/>
  <c r="BF65" i="58" s="1"/>
  <c r="BE82" i="58"/>
  <c r="BF82" i="58" s="1"/>
  <c r="BE99" i="58"/>
  <c r="BF99" i="58" s="1"/>
  <c r="BE147" i="58"/>
  <c r="BF147" i="58" s="1"/>
  <c r="BE13" i="58"/>
  <c r="BF13" i="58" s="1"/>
  <c r="BE85" i="58"/>
  <c r="BF85" i="58" s="1"/>
  <c r="BE89" i="58"/>
  <c r="BF89" i="58" s="1"/>
  <c r="BE96" i="58"/>
  <c r="BF96" i="58" s="1"/>
  <c r="BE100" i="58"/>
  <c r="BF100" i="58" s="1"/>
  <c r="BE105" i="58"/>
  <c r="BF105" i="58" s="1"/>
  <c r="BE108" i="58"/>
  <c r="BF108" i="58" s="1"/>
  <c r="BE111" i="58"/>
  <c r="BF111" i="58" s="1"/>
  <c r="AI143" i="58"/>
  <c r="BD46" i="58"/>
  <c r="BD73" i="58"/>
  <c r="BE75" i="58"/>
  <c r="BF75" i="58" s="1"/>
  <c r="BD75" i="58"/>
  <c r="F7" i="57"/>
  <c r="BD21" i="58"/>
  <c r="BD23" i="58"/>
  <c r="BD27" i="58"/>
  <c r="BD29" i="58"/>
  <c r="BD31" i="58"/>
  <c r="BD35" i="58"/>
  <c r="BD39" i="58"/>
  <c r="BD115" i="58"/>
  <c r="BD118" i="58"/>
  <c r="BD122" i="58"/>
  <c r="BD124" i="58"/>
  <c r="BD128" i="58"/>
  <c r="BD161" i="58"/>
  <c r="BD135" i="58"/>
  <c r="BD137" i="58"/>
  <c r="BD150" i="58"/>
  <c r="BD154" i="58"/>
  <c r="BD159" i="58"/>
  <c r="BD167" i="58"/>
  <c r="BD171" i="58"/>
  <c r="BD175" i="58"/>
  <c r="BD10" i="58"/>
  <c r="BD65" i="58"/>
  <c r="BD82" i="58"/>
  <c r="BD99" i="58"/>
  <c r="BD147" i="58"/>
  <c r="BD13" i="58"/>
  <c r="AO143" i="58"/>
  <c r="AP143" i="58" s="1"/>
  <c r="BD85" i="58"/>
  <c r="BD89" i="58"/>
  <c r="BD96" i="58"/>
  <c r="BD100" i="58"/>
  <c r="BD105" i="58"/>
  <c r="BE104" i="58"/>
  <c r="BF104" i="58" s="1"/>
  <c r="BD109" i="58"/>
  <c r="BD97" i="58"/>
  <c r="BD111" i="58"/>
  <c r="BE92" i="58"/>
  <c r="BF92" i="58" s="1"/>
  <c r="BE45" i="58"/>
  <c r="BF45" i="58" s="1"/>
  <c r="BE20" i="58"/>
  <c r="BF20" i="58" s="1"/>
  <c r="BE22" i="58"/>
  <c r="BF22" i="58" s="1"/>
  <c r="BE24" i="58"/>
  <c r="BF24" i="58" s="1"/>
  <c r="BE26" i="58"/>
  <c r="BF26" i="58" s="1"/>
  <c r="BE28" i="58"/>
  <c r="BF28" i="58" s="1"/>
  <c r="BE30" i="58"/>
  <c r="BF30" i="58" s="1"/>
  <c r="BE32" i="58"/>
  <c r="BF32" i="58" s="1"/>
  <c r="BE34" i="58"/>
  <c r="BF34" i="58" s="1"/>
  <c r="BE36" i="58"/>
  <c r="BF36" i="58" s="1"/>
  <c r="BE38" i="58"/>
  <c r="BF38" i="58" s="1"/>
  <c r="BE40" i="58"/>
  <c r="BF40" i="58" s="1"/>
  <c r="BE42" i="58"/>
  <c r="BF42" i="58" s="1"/>
  <c r="BE43" i="58"/>
  <c r="BF43" i="58" s="1"/>
  <c r="BE67" i="58"/>
  <c r="BF67" i="58" s="1"/>
  <c r="BE72" i="58"/>
  <c r="BF72" i="58" s="1"/>
  <c r="BE74" i="58"/>
  <c r="BF74" i="58" s="1"/>
  <c r="BE76" i="58"/>
  <c r="BF76" i="58" s="1"/>
  <c r="BE80" i="58"/>
  <c r="BF80" i="58" s="1"/>
  <c r="BE116" i="58"/>
  <c r="BF116" i="58" s="1"/>
  <c r="BE117" i="58"/>
  <c r="BF117" i="58" s="1"/>
  <c r="BE119" i="58"/>
  <c r="BF119" i="58" s="1"/>
  <c r="BE121" i="58"/>
  <c r="BF121" i="58" s="1"/>
  <c r="BE123" i="58"/>
  <c r="BF123" i="58" s="1"/>
  <c r="BE125" i="58"/>
  <c r="BF125" i="58" s="1"/>
  <c r="BE127" i="58"/>
  <c r="BF127" i="58" s="1"/>
  <c r="BE129" i="58"/>
  <c r="BF129" i="58" s="1"/>
  <c r="BE131" i="58"/>
  <c r="BF131" i="58" s="1"/>
  <c r="BE132" i="58"/>
  <c r="BF132" i="58" s="1"/>
  <c r="BE134" i="58"/>
  <c r="BF134" i="58" s="1"/>
  <c r="BE144" i="58"/>
  <c r="BF144" i="58" s="1"/>
  <c r="BE146" i="58"/>
  <c r="BF146" i="58" s="1"/>
  <c r="BE151" i="58"/>
  <c r="BF151" i="58" s="1"/>
  <c r="BE153" i="58"/>
  <c r="BF153" i="58" s="1"/>
  <c r="BE155" i="58"/>
  <c r="BF155" i="58" s="1"/>
  <c r="BE158" i="58"/>
  <c r="BF158" i="58" s="1"/>
  <c r="BE160" i="58"/>
  <c r="BF160" i="58" s="1"/>
  <c r="BE163" i="58"/>
  <c r="BF163" i="58" s="1"/>
  <c r="BE164" i="58"/>
  <c r="BF164" i="58" s="1"/>
  <c r="BE166" i="58"/>
  <c r="BF166" i="58" s="1"/>
  <c r="BE168" i="58"/>
  <c r="BF168" i="58" s="1"/>
  <c r="BE170" i="58"/>
  <c r="BF170" i="58" s="1"/>
  <c r="BE172" i="58"/>
  <c r="BF172" i="58" s="1"/>
  <c r="BE174" i="58"/>
  <c r="BF174" i="58" s="1"/>
  <c r="BE176" i="58"/>
  <c r="BF176" i="58" s="1"/>
  <c r="BE9" i="58"/>
  <c r="BF9" i="58" s="1"/>
  <c r="BE11" i="58"/>
  <c r="BF11" i="58" s="1"/>
  <c r="BE16" i="58"/>
  <c r="BF16" i="58" s="1"/>
  <c r="BE78" i="58"/>
  <c r="BF78" i="58" s="1"/>
  <c r="BE83" i="58"/>
  <c r="BF83" i="58" s="1"/>
  <c r="BE98" i="58"/>
  <c r="BF98" i="58" s="1"/>
  <c r="BE148" i="58"/>
  <c r="BF148" i="58" s="1"/>
  <c r="BE5" i="58"/>
  <c r="BF5" i="58" s="1"/>
  <c r="BE14" i="58"/>
  <c r="BF14" i="58" s="1"/>
  <c r="BE81" i="58"/>
  <c r="BF81" i="58" s="1"/>
  <c r="BE86" i="58"/>
  <c r="BF86" i="58" s="1"/>
  <c r="BE88" i="58"/>
  <c r="BF88" i="58" s="1"/>
  <c r="BE90" i="58"/>
  <c r="BF90" i="58" s="1"/>
  <c r="BE93" i="58"/>
  <c r="BF93" i="58" s="1"/>
  <c r="BE103" i="58"/>
  <c r="BF103" i="58" s="1"/>
  <c r="BE62" i="58"/>
  <c r="BF62" i="58" s="1"/>
  <c r="BE8" i="58"/>
  <c r="BF8" i="58" s="1"/>
  <c r="BE106" i="58"/>
  <c r="BF106" i="58" s="1"/>
  <c r="BD106" i="58"/>
  <c r="BE55" i="58"/>
  <c r="BF55" i="58" s="1"/>
  <c r="BE60" i="58"/>
  <c r="BF60" i="58" s="1"/>
  <c r="BD104" i="58"/>
  <c r="BD108" i="58"/>
  <c r="BE107" i="58"/>
  <c r="BF107" i="58" s="1"/>
  <c r="BE66" i="58"/>
  <c r="BF66" i="58" s="1"/>
  <c r="BE94" i="58"/>
  <c r="BF94" i="58" s="1"/>
  <c r="BE101" i="58"/>
  <c r="BF101" i="58" s="1"/>
  <c r="BE149" i="58"/>
  <c r="BF149" i="58" s="1"/>
  <c r="BD92" i="58"/>
  <c r="BE44" i="58"/>
  <c r="BF44" i="58" s="1"/>
  <c r="BD45" i="58"/>
  <c r="AP142" i="58"/>
  <c r="AL143" i="58"/>
  <c r="AM143" i="58" s="1"/>
  <c r="D20" i="57" s="1"/>
  <c r="E20" i="57" s="1"/>
  <c r="D27" i="65" l="1"/>
  <c r="F27" i="65" s="1"/>
  <c r="D28" i="65"/>
  <c r="F28" i="65" s="1"/>
  <c r="D29" i="65"/>
  <c r="F29" i="65" s="1"/>
  <c r="D27" i="57"/>
  <c r="E27" i="57" s="1"/>
  <c r="D28" i="57"/>
  <c r="E28" i="57" s="1"/>
  <c r="D29" i="57"/>
  <c r="E29" i="57" s="1"/>
  <c r="D19" i="57"/>
  <c r="F12" i="57"/>
  <c r="C46" i="57" s="1"/>
  <c r="C47" i="57" s="1"/>
  <c r="F26" i="65" l="1"/>
  <c r="H26" i="65" s="1"/>
  <c r="D26" i="65"/>
  <c r="G26" i="65" s="1"/>
  <c r="D18" i="57"/>
  <c r="E18" i="57" s="1"/>
  <c r="E19" i="57"/>
  <c r="D26" i="57"/>
  <c r="C69" i="57"/>
  <c r="D54" i="57" l="1"/>
  <c r="D61" i="57"/>
  <c r="E26" i="57"/>
  <c r="C61" i="57" s="1"/>
  <c r="C62" i="57" s="1"/>
  <c r="C54" i="57"/>
  <c r="C55" i="57" s="1"/>
</calcChain>
</file>

<file path=xl/comments1.xml><?xml version="1.0" encoding="utf-8"?>
<comments xmlns="http://schemas.openxmlformats.org/spreadsheetml/2006/main">
  <authors>
    <author>Olivier Le Guillou</author>
  </authors>
  <commentList>
    <comment ref="E6" authorId="0" shapeId="0">
      <text>
        <r>
          <rPr>
            <b/>
            <sz val="9"/>
            <color indexed="81"/>
            <rFont val="Tahoma"/>
            <family val="2"/>
          </rPr>
          <t>James should enter value based on his analysis. In case of project gap, while restarting, beneficiaries should be removed from that column to avoid double counting.</t>
        </r>
      </text>
    </comment>
    <comment ref="E17" authorId="0" shapeId="0">
      <text>
        <r>
          <rPr>
            <b/>
            <sz val="9"/>
            <color indexed="81"/>
            <rFont val="Tahoma"/>
            <family val="2"/>
          </rPr>
          <t>James should enter value based on his analysis. In case of project gap, while restarting, beneficiaries should be removed from that column to avoid double counting.</t>
        </r>
      </text>
    </comment>
    <comment ref="E25" authorId="0" shapeId="0">
      <text>
        <r>
          <rPr>
            <b/>
            <sz val="9"/>
            <color indexed="81"/>
            <rFont val="Tahoma"/>
            <family val="2"/>
          </rPr>
          <t>James should enter value based on his analysis. In case of project gap, while restarting, beneficiaries should be removed from that column to avoid double counting.</t>
        </r>
      </text>
    </comment>
    <comment ref="E33" authorId="0" shapeId="0">
      <text>
        <r>
          <rPr>
            <b/>
            <sz val="9"/>
            <color indexed="81"/>
            <rFont val="Tahoma"/>
            <family val="2"/>
          </rPr>
          <t>James should enter value based on his analysis. In case of project gap, while restarting, beneficiaries should be removed from that column to avoid double counting.</t>
        </r>
      </text>
    </comment>
  </commentList>
</comments>
</file>

<file path=xl/comments2.xml><?xml version="1.0" encoding="utf-8"?>
<comments xmlns="http://schemas.openxmlformats.org/spreadsheetml/2006/main">
  <authors>
    <author>Olivier Le Guillou</author>
    <author>Thein Tun Hlaing</author>
    <author>AOD 270</author>
    <author>Than Kyaw Soe</author>
  </authors>
  <commentList>
    <comment ref="B4" authorId="0" shapeId="0">
      <text>
        <r>
          <rPr>
            <b/>
            <sz val="9"/>
            <color indexed="81"/>
            <rFont val="Tahoma"/>
            <family val="2"/>
          </rPr>
          <t>Gray area to be filled by UNICEF on monthly CCCM update</t>
        </r>
      </text>
    </comment>
    <comment ref="L4" authorId="1" shapeId="0">
      <text>
        <r>
          <rPr>
            <b/>
            <sz val="9"/>
            <color indexed="81"/>
            <rFont val="Tahoma"/>
            <family val="2"/>
          </rPr>
          <t xml:space="preserve">Number of HH Register House hold who register in the CCCM list.
</t>
        </r>
      </text>
    </comment>
    <comment ref="M4" authorId="0" shapeId="0">
      <text>
        <r>
          <rPr>
            <b/>
            <sz val="9"/>
            <color indexed="81"/>
            <rFont val="Tahoma"/>
            <family val="2"/>
          </rPr>
          <t>Number of Register Population who register in the CCCM list.</t>
        </r>
      </text>
    </comment>
    <comment ref="N4" authorId="0" shapeId="0">
      <text>
        <r>
          <rPr>
            <b/>
            <sz val="9"/>
            <color indexed="81"/>
            <rFont val="Tahoma"/>
            <family val="2"/>
          </rPr>
          <t>real population estimated living in the camp by Wash field observation/knowledge</t>
        </r>
      </text>
    </comment>
    <comment ref="O4" authorId="0" shapeId="0">
      <text>
        <r>
          <rPr>
            <b/>
            <sz val="9"/>
            <color indexed="81"/>
            <rFont val="Tahoma"/>
            <family val="2"/>
          </rPr>
          <t xml:space="preserve">Total population of either camps, villages, school (related to column H definition). The number a cumulative with IDP </t>
        </r>
      </text>
    </comment>
    <comment ref="S4" authorId="0" shapeId="0">
      <text>
        <r>
          <rPr>
            <b/>
            <sz val="9"/>
            <color indexed="81"/>
            <rFont val="Tahoma"/>
            <family val="2"/>
          </rPr>
          <t>As mentionned in the Rakhine and Kachin strategic cluster plan, ideally no more than 1 NGO per camp. Here at least one NGO focal point for each sub sector (water, sanitation, hygiene propmotion). Focal point would means for cluster that the NGO is able to provide all infor in the sub sector for the camp concern. Ideally, the best case may be same NGo for all sub-sector as focal point</t>
        </r>
      </text>
    </comment>
    <comment ref="AC4" authorId="2" shapeId="0">
      <text>
        <r>
          <rPr>
            <b/>
            <sz val="9"/>
            <color indexed="81"/>
            <rFont val="Tahoma"/>
            <family val="2"/>
          </rPr>
          <t>AOD 270:</t>
        </r>
        <r>
          <rPr>
            <sz val="9"/>
            <color indexed="81"/>
            <rFont val="Tahoma"/>
            <family val="2"/>
          </rPr>
          <t xml:space="preserve">
Not connect to the motor pump and not connect to the over head tank</t>
        </r>
      </text>
    </comment>
    <comment ref="AD4" authorId="0" shapeId="0">
      <text>
        <r>
          <rPr>
            <b/>
            <sz val="9"/>
            <color indexed="81"/>
            <rFont val="Tahoma"/>
            <family val="2"/>
          </rPr>
          <t>Average hours of running per day or per week. If do not know the yield , calculate how many litres of water can be pumped out by running for 1 minutes. 
Eg. If run the motor for 1 min and get 30 litres,  = 30x60 x 4 hours etc.</t>
        </r>
      </text>
    </comment>
    <comment ref="AE4" authorId="2" shapeId="0">
      <text>
        <r>
          <rPr>
            <b/>
            <sz val="9"/>
            <color indexed="81"/>
            <rFont val="Tahoma"/>
            <family val="2"/>
          </rPr>
          <t>AOD 270:</t>
        </r>
        <r>
          <rPr>
            <sz val="9"/>
            <color indexed="81"/>
            <rFont val="Tahoma"/>
            <family val="2"/>
          </rPr>
          <t xml:space="preserve">
If walking aound the camp shows 40 households collect rain water out of 80 households, the % would be 50%.</t>
        </r>
      </text>
    </comment>
    <comment ref="AT4" authorId="0" shapeId="0">
      <text>
        <r>
          <rPr>
            <b/>
            <sz val="9"/>
            <color indexed="81"/>
            <rFont val="Tahoma"/>
            <family val="2"/>
          </rPr>
          <t>Offer a rough idea of the coverage of needs expected in 2 months (can also decrease in case of dry season…)</t>
        </r>
      </text>
    </comment>
    <comment ref="AW4" authorId="0" shapeId="0">
      <text>
        <r>
          <rPr>
            <b/>
            <sz val="9"/>
            <color indexed="81"/>
            <rFont val="Tahoma"/>
            <family val="2"/>
          </rPr>
          <t>For capitalisation only, mentionned total number of latrines built, even if not still functioning or existing)</t>
        </r>
      </text>
    </comment>
    <comment ref="BI4" authorId="0" shapeId="0">
      <text>
        <r>
          <rPr>
            <b/>
            <sz val="9"/>
            <color indexed="81"/>
            <rFont val="Tahoma"/>
            <family val="2"/>
          </rPr>
          <t>To mentionned approximated additional needs related to School, health center, ...</t>
        </r>
        <r>
          <rPr>
            <sz val="9"/>
            <color indexed="81"/>
            <rFont val="Tahoma"/>
            <family val="2"/>
          </rPr>
          <t xml:space="preserve">
50 boy students 1 latrine and 1 urinal and 1 for male staff, 25 girl students 1 latrine and 1 for female staff.</t>
        </r>
      </text>
    </comment>
    <comment ref="BY4" authorId="0" shapeId="0">
      <text>
        <r>
          <rPr>
            <b/>
            <sz val="9"/>
            <color indexed="81"/>
            <rFont val="Tahoma"/>
            <family val="2"/>
          </rPr>
          <t>In respect of HK strategy, 1 full hygiene kit should be distributed each year. Indicate the date corresponding at the last distribution realised according to the strategy.</t>
        </r>
      </text>
    </comment>
    <comment ref="CB4" authorId="0" shapeId="0">
      <text>
        <r>
          <rPr>
            <b/>
            <sz val="9"/>
            <color indexed="81"/>
            <rFont val="Tahoma"/>
            <family val="2"/>
          </rPr>
          <t>Accordingly to HK strategy, once a year</t>
        </r>
      </text>
    </comment>
    <comment ref="CD4" authorId="0" shapeId="0">
      <text>
        <r>
          <rPr>
            <b/>
            <sz val="9"/>
            <color indexed="81"/>
            <rFont val="Tahoma"/>
            <family val="2"/>
          </rPr>
          <t>The date indicated in column BN indicate the "starting date" of need coverage for Refilling Kits, defined for monthly needs. Then, well specified the nb of month provided in Refilling Kits since the date indicated in column BN. The number to should reflectre the number of months realised, not the number of distribution. A distribution can in some case cover 3 months of refieling need</t>
        </r>
      </text>
    </comment>
    <comment ref="E154" authorId="3" shapeId="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mments3.xml><?xml version="1.0" encoding="utf-8"?>
<comments xmlns="http://schemas.openxmlformats.org/spreadsheetml/2006/main">
  <authors>
    <author>Christian</author>
  </authors>
  <commentList>
    <comment ref="AH35" authorId="0" shapeId="0">
      <text>
        <r>
          <rPr>
            <b/>
            <sz val="8"/>
            <color indexed="81"/>
            <rFont val="Tahoma"/>
            <family val="2"/>
          </rPr>
          <t>Christian:</t>
        </r>
        <r>
          <rPr>
            <sz val="8"/>
            <color indexed="81"/>
            <rFont val="Tahoma"/>
            <family val="2"/>
          </rPr>
          <t xml:space="preserve">
High due to hygiene kit costs</t>
        </r>
      </text>
    </comment>
    <comment ref="T36" authorId="0" shapeId="0">
      <text>
        <r>
          <rPr>
            <b/>
            <sz val="8"/>
            <color indexed="81"/>
            <rFont val="Tahoma"/>
            <family val="2"/>
          </rPr>
          <t>Christian:</t>
        </r>
        <r>
          <rPr>
            <sz val="8"/>
            <color indexed="81"/>
            <rFont val="Tahoma"/>
            <family val="2"/>
          </rPr>
          <t xml:space="preserve">
O&amp;M Mainly. 200 new latrine in NGCA and school latrines in NGCA and GCA</t>
        </r>
      </text>
    </comment>
    <comment ref="U36" authorId="0" shapeId="0">
      <text>
        <r>
          <rPr>
            <b/>
            <sz val="8"/>
            <color indexed="81"/>
            <rFont val="Tahoma"/>
            <family val="2"/>
          </rPr>
          <t>Christian:</t>
        </r>
        <r>
          <rPr>
            <sz val="8"/>
            <color indexed="81"/>
            <rFont val="Tahoma"/>
            <family val="2"/>
          </rPr>
          <t xml:space="preserve">
O&amp;M Mainly. New gravity systems and storage in NGCA and a few new wells in exoanded GCA camps</t>
        </r>
      </text>
    </comment>
    <comment ref="V36" authorId="0" shapeId="0">
      <text>
        <r>
          <rPr>
            <b/>
            <sz val="8"/>
            <color indexed="81"/>
            <rFont val="Tahoma"/>
            <family val="2"/>
          </rPr>
          <t>Christian:</t>
        </r>
        <r>
          <rPr>
            <sz val="8"/>
            <color indexed="81"/>
            <rFont val="Tahoma"/>
            <family val="2"/>
          </rPr>
          <t xml:space="preserve">
NOTE: Limited funding for hygiene consumables. </t>
        </r>
      </text>
    </comment>
    <comment ref="AH36" authorId="0" shapeId="0">
      <text>
        <r>
          <rPr>
            <b/>
            <sz val="8"/>
            <color indexed="81"/>
            <rFont val="Tahoma"/>
            <family val="2"/>
          </rPr>
          <t>Christian:</t>
        </r>
        <r>
          <rPr>
            <sz val="8"/>
            <color indexed="81"/>
            <rFont val="Tahoma"/>
            <family val="2"/>
          </rPr>
          <t xml:space="preserve">
High due to hygiene kit costs</t>
        </r>
      </text>
    </comment>
    <comment ref="AH37" authorId="0" shapeId="0">
      <text>
        <r>
          <rPr>
            <b/>
            <sz val="8"/>
            <color indexed="81"/>
            <rFont val="Tahoma"/>
            <family val="2"/>
          </rPr>
          <t>Christian:</t>
        </r>
        <r>
          <rPr>
            <sz val="8"/>
            <color indexed="81"/>
            <rFont val="Tahoma"/>
            <family val="2"/>
          </rPr>
          <t xml:space="preserve">
High due to hygiene kit costs</t>
        </r>
      </text>
    </comment>
  </commentList>
</comments>
</file>

<file path=xl/sharedStrings.xml><?xml version="1.0" encoding="utf-8"?>
<sst xmlns="http://schemas.openxmlformats.org/spreadsheetml/2006/main" count="5390" uniqueCount="946">
  <si>
    <t>Township</t>
  </si>
  <si>
    <t>Site</t>
  </si>
  <si>
    <t>Total</t>
  </si>
  <si>
    <t>Location type</t>
  </si>
  <si>
    <t>Type</t>
  </si>
  <si>
    <t>Gap of basic hygiene kit</t>
  </si>
  <si>
    <t>Summary:</t>
  </si>
  <si>
    <t>Focal point Agency</t>
  </si>
  <si>
    <t>IDPs Pop</t>
  </si>
  <si>
    <t>Total PoP</t>
  </si>
  <si>
    <t>Needs coverage</t>
  </si>
  <si>
    <t>Comment</t>
  </si>
  <si>
    <t>Coverage hand wash station %</t>
  </si>
  <si>
    <t>Structure</t>
  </si>
  <si>
    <t>Gap of month covered by refilled</t>
  </si>
  <si>
    <t>Comments</t>
  </si>
  <si>
    <t>Approximative % of household receiving monthly HP senzitisation directly with NGO</t>
  </si>
  <si>
    <t>Camp manager defined by UNHCR</t>
  </si>
  <si>
    <t>Yes</t>
  </si>
  <si>
    <t>No</t>
  </si>
  <si>
    <t>Done</t>
  </si>
  <si>
    <t>Never deployed</t>
  </si>
  <si>
    <t>Coverage Bathing %</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</si>
  <si>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</si>
  <si>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</si>
  <si>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t>Month reported:</t>
  </si>
  <si>
    <r>
      <rPr>
        <b/>
        <sz val="10"/>
        <color indexed="10"/>
        <rFont val="Calibri"/>
        <family val="2"/>
      </rPr>
      <t>#</t>
    </r>
    <r>
      <rPr>
        <b/>
        <sz val="10"/>
        <color indexed="8"/>
        <rFont val="Calibri"/>
        <family val="2"/>
      </rPr>
      <t xml:space="preserve"> Additional latrines needs identified for community center as TLS, heath center…</t>
    </r>
  </si>
  <si>
    <t>Legend:</t>
  </si>
  <si>
    <t>White cell to be filled by NGO</t>
  </si>
  <si>
    <t>Gray Cell to be filled by UNICEF</t>
  </si>
  <si>
    <t>Colored cell per sector, automatic calculation</t>
  </si>
  <si>
    <t>Unity of the entry mentionned in the colum title in red</t>
  </si>
  <si>
    <t>Focal poing Agency:</t>
  </si>
  <si>
    <t>As mentionned in the Strategic plan, it is wish than one main wash actor per camp is positionned</t>
  </si>
  <si>
    <t>Objectives of the 4W matrix:</t>
  </si>
  <si>
    <t>To identify the geographical positionning of the different intervenants (Who)</t>
  </si>
  <si>
    <t>To deduce the geographical gaps coverage (Where)</t>
  </si>
  <si>
    <t>To produce a basic analysis of the needs covered, and needs remaining (What)</t>
  </si>
  <si>
    <t>To support priority definition</t>
  </si>
  <si>
    <t xml:space="preserve">To offer an synthetic situation overview, a basic, relavant and comparable analysis </t>
  </si>
  <si>
    <t>The 4W excecice cannot replace more complexe and field monitoring tools, and analysis.</t>
  </si>
  <si>
    <t>Geographical reporting coverage</t>
  </si>
  <si>
    <t xml:space="preserve"> It won't analyse much the qualitative aspect of the intervention, while it is pre-condition for any intervention </t>
  </si>
  <si>
    <t>to respect minimum technical standards, shared and contextualised by the cluster</t>
  </si>
  <si>
    <t>However, depending of the needs, two actors can be considered per sub sctor, and different regarding wash sub-sector</t>
  </si>
  <si>
    <t>In a cluster point of view, to facilitate the data collection, the define focal wash agency is reporting for the whole situation per sub-sector, and not only on its own activities</t>
  </si>
  <si>
    <t>The agency focal point is defined on an bilateral agreement between NGO, while the Cluster can accompaign any process difficulties</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</si>
  <si>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</si>
  <si>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</si>
  <si>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</si>
  <si>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</si>
  <si>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</si>
  <si>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</si>
  <si>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monthly exchange on results finding</t>
  </si>
  <si>
    <t>The 4W should be updated at monthly bases, while all agency are requested to fill the form to offer the more accurate and relevant situation vision</t>
  </si>
  <si>
    <t>To predict at minima the coverage extension or reduction in short term (When)</t>
  </si>
  <si>
    <t>The agency are also welcom to cross check the data and mention major discrpency with field observation. The wash cluster in that case ensure a follow up at the inter-cluster level</t>
  </si>
  <si>
    <t>The 4W and its analysis is shared with the Myanmar autorities</t>
  </si>
  <si>
    <t>The wash cluster is in charge to ensure to gather the information form the State government, in case of technical direct implementation</t>
  </si>
  <si>
    <t>The 4w consolidated by the wash cluster and its analysis will be monthly share through the google wash group, and the internet site</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</si>
  <si>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</si>
  <si>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</si>
  <si>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</si>
  <si>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</si>
  <si>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Need for community space, as Temporary Learning School, are not yet clear to mesure, but has to be evaluated on existing structure by Agency</t>
  </si>
  <si>
    <t>Functional and efficient</t>
  </si>
  <si>
    <t>Not yet set up</t>
  </si>
  <si>
    <t>Gender issue is not proposed to be mesure by this tools, considered to be a minimum standard to be respected</t>
  </si>
  <si>
    <t xml:space="preserve">The objective being to mesure the needs remaining, and so the need covered, technical evaluation are not proposed, </t>
  </si>
  <si>
    <t xml:space="preserve">as" # of water point not working" or needed rehabilitation, concentrating on the services effective for the beneficiaries. </t>
  </si>
  <si>
    <t>Social organisation is proposed to be measured on basic effeciency accomplishment</t>
  </si>
  <si>
    <t>Desludging needs monitoring is high, but so high and challenging matter that another separate tools should be developped for a prpper follow up and plan set up</t>
  </si>
  <si>
    <r>
      <rPr>
        <sz val="18"/>
        <color indexed="8"/>
        <rFont val="Calibri"/>
        <family val="2"/>
      </rPr>
      <t>WASH CLUSTER</t>
    </r>
    <r>
      <rPr>
        <b/>
        <sz val="18"/>
        <color indexed="8"/>
        <rFont val="Calibri"/>
        <family val="2"/>
      </rPr>
      <t xml:space="preserve"> 4W MATRIX </t>
    </r>
    <r>
      <rPr>
        <sz val="18"/>
        <color indexed="8"/>
        <rFont val="Calibri"/>
        <family val="2"/>
      </rPr>
      <t>MYANMAR</t>
    </r>
  </si>
  <si>
    <t>Grand Total</t>
  </si>
  <si>
    <t>(All)</t>
  </si>
  <si>
    <t>Data</t>
  </si>
  <si>
    <t>Rank coverage</t>
  </si>
  <si>
    <t>Camps treshold</t>
  </si>
  <si>
    <t>2. Medium</t>
  </si>
  <si>
    <t>1. Small</t>
  </si>
  <si>
    <t>3. Large</t>
  </si>
  <si>
    <t>4. Big</t>
  </si>
  <si>
    <t>5. Massive</t>
  </si>
  <si>
    <t>Agencies involved</t>
  </si>
  <si>
    <t xml:space="preserve">Exit strategy plan from emergency supply </t>
  </si>
  <si>
    <t>Emergency structures</t>
  </si>
  <si>
    <r>
      <t xml:space="preserve">Semi-permanent structures </t>
    </r>
    <r>
      <rPr>
        <b/>
        <sz val="12"/>
        <color indexed="10"/>
        <rFont val="Calibri"/>
        <family val="2"/>
      </rPr>
      <t>functionning</t>
    </r>
  </si>
  <si>
    <t>Actual water needs coverage</t>
  </si>
  <si>
    <t>% Emergency latrines</t>
  </si>
  <si>
    <t>Not separated yet</t>
  </si>
  <si>
    <t>Latrines gender sperated</t>
  </si>
  <si>
    <t>Coverage Hygiene kits</t>
  </si>
  <si>
    <t>General comparative Analysis</t>
  </si>
  <si>
    <t>Water access</t>
  </si>
  <si>
    <t>Latrine access</t>
  </si>
  <si>
    <t>Community approach/ Hygiene Promotion</t>
  </si>
  <si>
    <t>% of actual need covered by emergency facilities</t>
  </si>
  <si>
    <r>
      <rPr>
        <b/>
        <sz val="10"/>
        <color indexed="10"/>
        <rFont val="Calibri"/>
        <family val="2"/>
      </rPr>
      <t>#</t>
    </r>
    <r>
      <rPr>
        <b/>
        <sz val="10"/>
        <color indexed="8"/>
        <rFont val="Calibri"/>
        <family val="2"/>
      </rPr>
      <t xml:space="preserve"> Hand pump (on well or borehole)</t>
    </r>
  </si>
  <si>
    <r>
      <rPr>
        <b/>
        <sz val="10"/>
        <color indexed="10"/>
        <rFont val="Calibri"/>
        <family val="2"/>
      </rPr>
      <t>Total #</t>
    </r>
    <r>
      <rPr>
        <b/>
        <sz val="10"/>
        <color indexed="8"/>
        <rFont val="Calibri"/>
        <family val="2"/>
      </rPr>
      <t xml:space="preserve"> Emergency Latrines built since camp opening</t>
    </r>
  </si>
  <si>
    <t>Hygiene promotion</t>
  </si>
  <si>
    <t>GPS x</t>
  </si>
  <si>
    <t>GPS y</t>
  </si>
  <si>
    <t>COMMUNITY MOBILIZATION</t>
  </si>
  <si>
    <t>Nb  community HP trainer trained by NGO</t>
  </si>
  <si>
    <t>Chipwi</t>
  </si>
  <si>
    <t>Chipwi KBC camp</t>
  </si>
  <si>
    <t>Lhaovao Baptist Church (LBC)</t>
  </si>
  <si>
    <t>Hpakan</t>
  </si>
  <si>
    <t>5 Ward Baptist Church(lon Khin)</t>
  </si>
  <si>
    <t>5 Ward RC Church(lon Khin)</t>
  </si>
  <si>
    <t>AG Church, Hmaw Si Sa</t>
  </si>
  <si>
    <t>AG Church, Maw Wan</t>
  </si>
  <si>
    <t>Baptist Church, Hmaw Si Sar(Lon Khin)</t>
  </si>
  <si>
    <t>Chin Church, Seik Mu</t>
  </si>
  <si>
    <t>Dhama Rakhita, Nyein Chan Tar Yar Ward(Lon Khin)</t>
  </si>
  <si>
    <t>Hmaw Wan, Anglican</t>
  </si>
  <si>
    <t>Lisu Baptist Church, Maw Shan Vil,. Seik Mu</t>
  </si>
  <si>
    <t>Lisu Baptist Church, Maw Wan Ward</t>
  </si>
  <si>
    <t>Maw Wan, Mu-yin Baptist Church</t>
  </si>
  <si>
    <t>Nant Ma Hpit Catholic Church</t>
  </si>
  <si>
    <t>Rawan Baptist Church, Maw Shan Vil., Seik Mu</t>
  </si>
  <si>
    <t>Sai Nai Baptish Church, Maw Shan Vil., Seki Mu</t>
  </si>
  <si>
    <t xml:space="preserve">Ward 2 Sai Taung Baptist Church, Seik Mu </t>
  </si>
  <si>
    <t>Yumar Baptist Church</t>
  </si>
  <si>
    <t>Khaunglanhpu</t>
  </si>
  <si>
    <t>La Ja</t>
  </si>
  <si>
    <t xml:space="preserve">Kyun Taw Baptist Church </t>
  </si>
  <si>
    <t>Mang Hawng Baptist Church</t>
  </si>
  <si>
    <t xml:space="preserve">Nat Gyi Kone Baptist Church </t>
  </si>
  <si>
    <t>Mohnyin</t>
  </si>
  <si>
    <t xml:space="preserve">St. Patrick Catholic Church </t>
  </si>
  <si>
    <t>Myitkyina</t>
  </si>
  <si>
    <t>Du Kahtawng Qtr. 14</t>
  </si>
  <si>
    <t>Du Kahtawng Qtr. 4</t>
  </si>
  <si>
    <t>Du Kahtawng Qtr. 5</t>
  </si>
  <si>
    <t>Jan Mai Kawng Baptist Church</t>
  </si>
  <si>
    <t>Jan Mai Kawng Catholic Church</t>
  </si>
  <si>
    <t>Kyun Pin Thar Baptist Church</t>
  </si>
  <si>
    <t>Le Kone Bethlehem Church</t>
  </si>
  <si>
    <t xml:space="preserve">Le Kone Ziun Baptist Church </t>
  </si>
  <si>
    <t>Maliyang Baptist Church</t>
  </si>
  <si>
    <t>Man Hkring Baptist Church</t>
  </si>
  <si>
    <t>Maw Hpawng Hka Nan Baptist Church</t>
  </si>
  <si>
    <t>Maw Hpawng Lhaovo Baptist Church</t>
  </si>
  <si>
    <t>Pa Dauk Myaing(Pa La Na)</t>
  </si>
  <si>
    <t>Shatapru Sut Ngai Tawng</t>
  </si>
  <si>
    <t>Shatapru Thida Aye Baptist Church</t>
  </si>
  <si>
    <t>Shwe Zet Baptist Church</t>
  </si>
  <si>
    <t>Tat Kone Baptist Church</t>
  </si>
  <si>
    <t>Tat Kone COC Baptist / Tat Kone Htoi San</t>
  </si>
  <si>
    <t>Tat Kone Emanuel Church</t>
  </si>
  <si>
    <t>Tat Kone Galile Baptist Church</t>
  </si>
  <si>
    <t>Tat Kone San Pya Baptist Church</t>
  </si>
  <si>
    <t>Wun Tho Buddhist Monastery</t>
  </si>
  <si>
    <t>Waingmaw</t>
  </si>
  <si>
    <t xml:space="preserve">Hkat Cho </t>
  </si>
  <si>
    <t>Hkau Shau (BP 12)</t>
  </si>
  <si>
    <t>Mading Baptist Church</t>
  </si>
  <si>
    <t xml:space="preserve">Maga Yang </t>
  </si>
  <si>
    <t>Maina AG Church</t>
  </si>
  <si>
    <t>Maina Catholic Church (St. Joseph)</t>
  </si>
  <si>
    <t>Maina KBC (Bawng Ring)</t>
  </si>
  <si>
    <t>Maina Lawang Baptist Church</t>
  </si>
  <si>
    <t>Nawng Hee Village</t>
  </si>
  <si>
    <t>Post 6 Camp</t>
  </si>
  <si>
    <t>Qtr. 2 Lhaovo Baptist Church</t>
  </si>
  <si>
    <t>Qtr. 2 Myoma Baptist Church</t>
  </si>
  <si>
    <t>Qtr. 3 Mu-yin  Baptist Church</t>
  </si>
  <si>
    <t>Qtr. 4 Monestry (Thargaya Thayett Taw)</t>
  </si>
  <si>
    <t>Shing Jai</t>
  </si>
  <si>
    <t>Thargaya Lisu Baptist Church</t>
  </si>
  <si>
    <t>Waingmaw AG Church</t>
  </si>
  <si>
    <t>Waingmaw Baptist Zonal Office</t>
  </si>
  <si>
    <t xml:space="preserve">Woi Chyai </t>
  </si>
  <si>
    <t>Zai Awng / Mung Ga Zup</t>
  </si>
  <si>
    <t>Bhamo</t>
  </si>
  <si>
    <t>Aung Thar Church</t>
  </si>
  <si>
    <t>Lisu Boarding-House</t>
  </si>
  <si>
    <t>Nant Hlaing Church</t>
  </si>
  <si>
    <t>Ta Gun Taing Monastery (Shwe Kyi Na)</t>
  </si>
  <si>
    <t>Yoe Kyi Monastery</t>
  </si>
  <si>
    <t>Mansi</t>
  </si>
  <si>
    <t>Manton</t>
  </si>
  <si>
    <t>Momauk</t>
  </si>
  <si>
    <t xml:space="preserve">Dum Bung </t>
  </si>
  <si>
    <t xml:space="preserve">Hpun Lum Yang </t>
  </si>
  <si>
    <t xml:space="preserve">Nhkawng Pa </t>
  </si>
  <si>
    <t>Loi Je Baptist Church</t>
  </si>
  <si>
    <t>Loi Je Catholic Church</t>
  </si>
  <si>
    <t xml:space="preserve">Mai Khat </t>
  </si>
  <si>
    <t xml:space="preserve">Man Nawng </t>
  </si>
  <si>
    <t>Mandalay Monestry</t>
  </si>
  <si>
    <t>Momauk Baptist Church</t>
  </si>
  <si>
    <t xml:space="preserve">Myo Thit </t>
  </si>
  <si>
    <t>Ni Thaw Ka Monestry</t>
  </si>
  <si>
    <t>Lawk Awng Mare D. (Sinbo Area)</t>
  </si>
  <si>
    <t>Shwe Gu Baptist Church</t>
  </si>
  <si>
    <t>Shwe Gu Catholic Church</t>
  </si>
  <si>
    <t xml:space="preserve">Je Yang Hka </t>
  </si>
  <si>
    <t>Pajau / Jan Mai</t>
  </si>
  <si>
    <t>Kutkai</t>
  </si>
  <si>
    <t>Kone Khem Camp</t>
  </si>
  <si>
    <t>Kutkai downtown (KBC Church)</t>
  </si>
  <si>
    <t>Kutkai downtown (RC Church)</t>
  </si>
  <si>
    <t>Mine Yu Lay village</t>
  </si>
  <si>
    <t xml:space="preserve">Mungji Pa Dabang (Baptist Church)         </t>
  </si>
  <si>
    <t xml:space="preserve">Mungji Pa Dabang (RC Church)         </t>
  </si>
  <si>
    <t xml:space="preserve">Nam Hpak Ka Mare </t>
  </si>
  <si>
    <t>Zup Aung Camp</t>
  </si>
  <si>
    <t>Muse</t>
  </si>
  <si>
    <t>Nam Hkam - Nay Win Ni (Palawng)</t>
  </si>
  <si>
    <t>Nam Hkam (KBC Jaw Wang)</t>
  </si>
  <si>
    <t>Nam Hkam Catholic Church ( St. Thomas I)</t>
  </si>
  <si>
    <t>GCA</t>
  </si>
  <si>
    <t xml:space="preserve">Njang Dung Baptist Church </t>
  </si>
  <si>
    <t>Nan Kway St. John Catholic Church</t>
  </si>
  <si>
    <t>Hpare Hkyer - BP6</t>
  </si>
  <si>
    <t>Man Bung Catholic compound</t>
  </si>
  <si>
    <t>Shwegu</t>
  </si>
  <si>
    <t>Puta-O</t>
  </si>
  <si>
    <t>Mogaung</t>
  </si>
  <si>
    <t>NGCA</t>
  </si>
  <si>
    <t>Border Post 8</t>
  </si>
  <si>
    <t>Hlaing Naung Baptist</t>
  </si>
  <si>
    <t>Nam Ma Phyit, COC</t>
  </si>
  <si>
    <t>Khun Sint Village</t>
  </si>
  <si>
    <t>Narte</t>
  </si>
  <si>
    <t>Namtu</t>
  </si>
  <si>
    <r>
      <rPr>
        <b/>
        <sz val="10"/>
        <color indexed="10"/>
        <rFont val="Calibri"/>
        <family val="2"/>
      </rPr>
      <t xml:space="preserve">litres/day produce </t>
    </r>
    <r>
      <rPr>
        <b/>
        <sz val="10"/>
        <color indexed="8"/>
        <rFont val="Calibri"/>
        <family val="2"/>
      </rPr>
      <t xml:space="preserve"> 
Water treatment station </t>
    </r>
  </si>
  <si>
    <r>
      <rPr>
        <b/>
        <sz val="10"/>
        <color indexed="10"/>
        <rFont val="Calibri"/>
        <family val="2"/>
      </rPr>
      <t>litres deliver during the month</t>
    </r>
    <r>
      <rPr>
        <b/>
        <sz val="10"/>
        <color indexed="8"/>
        <rFont val="Calibri"/>
        <family val="2"/>
      </rPr>
      <t xml:space="preserve">
Water/Boat trucking </t>
    </r>
  </si>
  <si>
    <t>KMSS</t>
  </si>
  <si>
    <t>Active</t>
  </si>
  <si>
    <t>Metta</t>
  </si>
  <si>
    <t>SI</t>
  </si>
  <si>
    <t>KBC</t>
  </si>
  <si>
    <t>Coverage Hygiene kits * Total PoP</t>
  </si>
  <si>
    <t>Row Labels</t>
  </si>
  <si>
    <t>Sum of Total PoP</t>
  </si>
  <si>
    <t>80-100%</t>
  </si>
  <si>
    <t>0-10%</t>
  </si>
  <si>
    <t>Household treatment</t>
  </si>
  <si>
    <t>Potential % of actual need coverage including houshold treatment solution</t>
  </si>
  <si>
    <r>
      <rPr>
        <b/>
        <sz val="14"/>
        <color indexed="10"/>
        <rFont val="Calibri"/>
        <family val="2"/>
      </rPr>
      <t>Safe</t>
    </r>
    <r>
      <rPr>
        <b/>
        <sz val="14"/>
        <color indexed="8"/>
        <rFont val="Calibri"/>
        <family val="2"/>
      </rPr>
      <t xml:space="preserve"> Water supply</t>
    </r>
  </si>
  <si>
    <r>
      <t xml:space="preserve">litres/Day </t>
    </r>
    <r>
      <rPr>
        <b/>
        <sz val="10"/>
        <rFont val="Calibri"/>
        <family val="2"/>
      </rPr>
      <t>provided with Overhead or storage tank with reticulation/ Water  gravity system           ( Yield x average running hours)</t>
    </r>
  </si>
  <si>
    <r>
      <rPr>
        <b/>
        <sz val="10"/>
        <color indexed="10"/>
        <rFont val="Calibri"/>
        <family val="2"/>
      </rPr>
      <t>%</t>
    </r>
    <r>
      <rPr>
        <b/>
        <sz val="10"/>
        <color indexed="8"/>
        <rFont val="Calibri"/>
        <family val="2"/>
      </rPr>
      <t xml:space="preserve"> Water harvesting system HH coverage</t>
    </r>
  </si>
  <si>
    <r>
      <rPr>
        <b/>
        <sz val="10"/>
        <color indexed="10"/>
        <rFont val="Calibri"/>
        <family val="2"/>
      </rPr>
      <t>#</t>
    </r>
    <r>
      <rPr>
        <b/>
        <sz val="10"/>
        <color indexed="8"/>
        <rFont val="Calibri"/>
        <family val="2"/>
      </rPr>
      <t xml:space="preserve"> Emergency latrines still </t>
    </r>
    <r>
      <rPr>
        <b/>
        <sz val="10"/>
        <color indexed="10"/>
        <rFont val="Calibri"/>
        <family val="2"/>
      </rPr>
      <t>functional</t>
    </r>
  </si>
  <si>
    <r>
      <rPr>
        <b/>
        <sz val="10"/>
        <color indexed="10"/>
        <rFont val="Calibri"/>
        <family val="2"/>
      </rPr>
      <t>#</t>
    </r>
    <r>
      <rPr>
        <b/>
        <sz val="10"/>
        <color indexed="8"/>
        <rFont val="Calibri"/>
        <family val="2"/>
      </rPr>
      <t xml:space="preserve"> Semi permanent latrine </t>
    </r>
    <r>
      <rPr>
        <b/>
        <sz val="10"/>
        <color indexed="10"/>
        <rFont val="Calibri"/>
        <family val="2"/>
      </rPr>
      <t>functional</t>
    </r>
  </si>
  <si>
    <r>
      <rPr>
        <b/>
        <sz val="10"/>
        <color indexed="10"/>
        <rFont val="Calibri"/>
        <family val="2"/>
      </rPr>
      <t>#</t>
    </r>
    <r>
      <rPr>
        <b/>
        <sz val="10"/>
        <color indexed="8"/>
        <rFont val="Calibri"/>
        <family val="2"/>
      </rPr>
      <t xml:space="preserve"> Hand washing station </t>
    </r>
    <r>
      <rPr>
        <b/>
        <sz val="10"/>
        <color indexed="10"/>
        <rFont val="Calibri"/>
        <family val="2"/>
      </rPr>
      <t>funtional</t>
    </r>
  </si>
  <si>
    <t>Column Labels</t>
  </si>
  <si>
    <t>Hpakant Baptist Church, Nam Ma Hpit</t>
  </si>
  <si>
    <t>Merlin</t>
  </si>
  <si>
    <t>Source of Data</t>
  </si>
  <si>
    <t>Focal NGO</t>
  </si>
  <si>
    <t>UNICEF</t>
  </si>
  <si>
    <t>Not documented</t>
  </si>
  <si>
    <t>Zoning cluster location</t>
  </si>
  <si>
    <t>Cluster 1</t>
  </si>
  <si>
    <t>Cluster 2</t>
  </si>
  <si>
    <t>Cluster 3</t>
  </si>
  <si>
    <t>Cluster 4</t>
  </si>
  <si>
    <t>Cluster 5</t>
  </si>
  <si>
    <t>(Multiple Items)</t>
  </si>
  <si>
    <t>Ratio between population and nb of community HP</t>
  </si>
  <si>
    <t>% Semi permanent latrine</t>
  </si>
  <si>
    <t>Access of safe water drinking permanent water point</t>
  </si>
  <si>
    <t>Cluster 6</t>
  </si>
  <si>
    <t>Cluster 7</t>
  </si>
  <si>
    <t>Cluster 8</t>
  </si>
  <si>
    <t>Cluster 9</t>
  </si>
  <si>
    <t>Estimated coverage of bathroom at the end of project with gender speration</t>
  </si>
  <si>
    <r>
      <rPr>
        <b/>
        <sz val="10"/>
        <color indexed="10"/>
        <rFont val="Calibri"/>
        <family val="2"/>
      </rPr>
      <t>% Estimated</t>
    </r>
    <r>
      <rPr>
        <b/>
        <sz val="10"/>
        <color indexed="8"/>
        <rFont val="Calibri"/>
        <family val="2"/>
      </rPr>
      <t xml:space="preserve"> coverage of latrine need at the end of project</t>
    </r>
  </si>
  <si>
    <t>Estimated coverage need of hand washing station at the end of project</t>
  </si>
  <si>
    <r>
      <rPr>
        <b/>
        <sz val="10"/>
        <color indexed="10"/>
        <rFont val="Calibri"/>
        <family val="2"/>
      </rPr>
      <t>%</t>
    </r>
    <r>
      <rPr>
        <b/>
        <sz val="10"/>
        <color indexed="8"/>
        <rFont val="Calibri"/>
        <family val="2"/>
      </rPr>
      <t xml:space="preserve"> Estimated need coverage at the end of project</t>
    </r>
  </si>
  <si>
    <t>AD-2000 Tharthana Compound*</t>
  </si>
  <si>
    <t>Htoi San Church*</t>
  </si>
  <si>
    <t>Shalom</t>
  </si>
  <si>
    <t>IRRC</t>
  </si>
  <si>
    <t>KMSS- Lashio</t>
  </si>
  <si>
    <t>Man Wing Baptist Church*</t>
  </si>
  <si>
    <t>Man Wing Catholic Church*</t>
  </si>
  <si>
    <t>Mansi Baptist Church*</t>
  </si>
  <si>
    <t>Church</t>
  </si>
  <si>
    <t>Pan Wa</t>
  </si>
  <si>
    <t>CESVI</t>
  </si>
  <si>
    <t>WPN</t>
  </si>
  <si>
    <t>Documented</t>
  </si>
  <si>
    <t>Community management organise and efficient in camps</t>
  </si>
  <si>
    <t>Count of Community management organise and efficient in camps</t>
  </si>
  <si>
    <t>UNHCR</t>
  </si>
  <si>
    <t>Latrine shared by families , not separated</t>
  </si>
  <si>
    <t>Separate, clearly perceived</t>
  </si>
  <si>
    <t>Separate, but not clearly perceived</t>
  </si>
  <si>
    <t xml:space="preserve">Set up but low results </t>
  </si>
  <si>
    <t>Not yet planned</t>
  </si>
  <si>
    <r>
      <rPr>
        <b/>
        <sz val="10"/>
        <color indexed="10"/>
        <rFont val="Calibri"/>
        <family val="2"/>
      </rPr>
      <t>#</t>
    </r>
    <r>
      <rPr>
        <b/>
        <sz val="10"/>
        <color indexed="8"/>
        <rFont val="Calibri"/>
        <family val="2"/>
      </rPr>
      <t xml:space="preserve"> Open hand Dug wells (without hand pump)</t>
    </r>
  </si>
  <si>
    <r>
      <rPr>
        <b/>
        <sz val="10"/>
        <color rgb="FFFF0000"/>
        <rFont val="Calibri"/>
        <family val="2"/>
      </rPr>
      <t xml:space="preserve">Date </t>
    </r>
    <r>
      <rPr>
        <b/>
        <sz val="10"/>
        <color theme="1"/>
        <rFont val="Calibri"/>
        <family val="2"/>
      </rPr>
      <t>Last Full Hygiene Kit distribution</t>
    </r>
  </si>
  <si>
    <r>
      <rPr>
        <b/>
        <sz val="10"/>
        <color indexed="10"/>
        <rFont val="Calibri"/>
        <family val="2"/>
      </rPr>
      <t>Total #</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</si>
  <si>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 distributed for Refilling Kits since last full kit distribution</t>
    </r>
  </si>
  <si>
    <t>Next distribution to be done</t>
  </si>
  <si>
    <t>None</t>
  </si>
  <si>
    <t>Population for Actual water needs coverage</t>
  </si>
  <si>
    <t>Population for Estimated need coverage in 2 months</t>
  </si>
  <si>
    <t>Population for of actual need covered by emergency facilities</t>
  </si>
  <si>
    <t>Population for Potential % of actual need coverage including houshold treatment solution</t>
  </si>
  <si>
    <t>Population for access of safe water drinking permanent water point</t>
  </si>
  <si>
    <t>Population for % Emergency latrines</t>
  </si>
  <si>
    <t>Population for % Latrine needs coverage</t>
  </si>
  <si>
    <t>Population for % Semi permanent latrine</t>
  </si>
  <si>
    <t>Population for % Estimated coverage of latrine need at the end of project</t>
  </si>
  <si>
    <t>Population Coverage Bathing %</t>
  </si>
  <si>
    <t>Population for  Estimated coverage of bathroom need at the end of projects  % with gender speration</t>
  </si>
  <si>
    <t>Maing Khaung Baptist Church</t>
  </si>
  <si>
    <t>Maing Khaung Catholic Church</t>
  </si>
  <si>
    <t>Cluster 10</t>
  </si>
  <si>
    <t xml:space="preserve">Nawng Ing (Indawgyi) Baptist Church  </t>
  </si>
  <si>
    <t xml:space="preserve">Loi Je Nyaung Na Pin </t>
  </si>
  <si>
    <t xml:space="preserve">Loi Je Seng Ja </t>
  </si>
  <si>
    <t>KACHIN EMERGENCY FUNDS ANALYSIS</t>
  </si>
  <si>
    <t>DONORS FUND PARTICIPATION *</t>
  </si>
  <si>
    <t>Year fund received</t>
  </si>
  <si>
    <t>Sum of Total budget of the project US$. For only WASH related cost (including related support costs)</t>
  </si>
  <si>
    <t>Donor</t>
  </si>
  <si>
    <t>ECHO</t>
  </si>
  <si>
    <t>Germany</t>
  </si>
  <si>
    <t>OFDA</t>
  </si>
  <si>
    <t>CERF</t>
  </si>
  <si>
    <t>Canada</t>
  </si>
  <si>
    <t>Australian</t>
  </si>
  <si>
    <t>France</t>
  </si>
  <si>
    <t>Sweden</t>
  </si>
  <si>
    <t>CIDA</t>
  </si>
  <si>
    <t>FUND RECEIVED PER YEAR</t>
  </si>
  <si>
    <t>APPROXIMATE FUND USE/ENGAGED PER YEAR*</t>
  </si>
  <si>
    <t>GEOGRAPHIC FUND REPARTITION</t>
  </si>
  <si>
    <t>% fund attributed for Northern Shan</t>
  </si>
  <si>
    <t xml:space="preserve"> % fund attributed for South Kachin</t>
  </si>
  <si>
    <t xml:space="preserve"> % funds attributed for North kachin</t>
  </si>
  <si>
    <t>Average of Approximative % of NGCA beneficiaries</t>
  </si>
  <si>
    <t>Average of Approximative % of GCA beneficiaries</t>
  </si>
  <si>
    <t>BENEFICIARIES REPARTITION</t>
  </si>
  <si>
    <t>Average of Approximate % of beneficiaries in host community</t>
  </si>
  <si>
    <t>Average of Approximate % of beneficiaries in camps</t>
  </si>
  <si>
    <t>FUNDS REPARTITION BY SUB-SECTOR</t>
  </si>
  <si>
    <t>Average of Approximate % of fund dedicated to sanitation</t>
  </si>
  <si>
    <t>Average of Approximate % fund dedicated to Water access</t>
  </si>
  <si>
    <t>Average of Approximate % of fund dedicated to HP</t>
  </si>
  <si>
    <t>NB OF BENEFICIARIES PER SUB-SECTOR IN CAMPS</t>
  </si>
  <si>
    <t>Number of sanitation beneficiaries</t>
  </si>
  <si>
    <t>Number of water access beneficiaries</t>
  </si>
  <si>
    <t xml:space="preserve"> Number of beneficiairies for HE</t>
  </si>
  <si>
    <t>NB OF BENEFICIARIES IN HOST COMMUNITIES</t>
  </si>
  <si>
    <t>Agency leading the project</t>
  </si>
  <si>
    <t xml:space="preserve"> Nb of sanitation beneficiaries</t>
  </si>
  <si>
    <t>Nb of water access beneficiaries</t>
  </si>
  <si>
    <t>Nb of beneficiairies for HE in host</t>
  </si>
  <si>
    <t>Last update:</t>
  </si>
  <si>
    <t>KACHIN EMMERGENCY FUNDING MATRIX</t>
  </si>
  <si>
    <t>Beneficiaries target  detail by type and sub-sector</t>
  </si>
  <si>
    <t>General</t>
  </si>
  <si>
    <t>Details</t>
  </si>
  <si>
    <t>Beneficiaries</t>
  </si>
  <si>
    <t>Camps</t>
  </si>
  <si>
    <t>Other than camp 
(Host communities, villages...)</t>
  </si>
  <si>
    <t>Budget details</t>
  </si>
  <si>
    <t xml:space="preserve">Implementing or consortium partner  </t>
  </si>
  <si>
    <t>cofunding donors</t>
  </si>
  <si>
    <t>Name of the project</t>
  </si>
  <si>
    <t>Project start date 
 dd/mm/yy</t>
  </si>
  <si>
    <t>Project end date  dd/mm/yy</t>
  </si>
  <si>
    <t>Status of the project</t>
  </si>
  <si>
    <t>Total Nb of wash beneficiaries</t>
  </si>
  <si>
    <t>Approximative % of NGCA beneficiaries</t>
  </si>
  <si>
    <t>Approximative % of GCA beneficiaries</t>
  </si>
  <si>
    <t>% Northern Shan</t>
  </si>
  <si>
    <t>%South Kachin</t>
  </si>
  <si>
    <t>%North kachin</t>
  </si>
  <si>
    <t>Approximate % of beneficiaries in camps</t>
  </si>
  <si>
    <t>Approximate % of beneficiaries in host community</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</si>
  <si>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</si>
  <si>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</si>
  <si>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</si>
  <si>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</si>
  <si>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</si>
  <si>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</si>
  <si>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</si>
  <si>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</si>
  <si>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</si>
  <si>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</si>
  <si>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</si>
  <si>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Provision of Hygiene and Sanitation facilities for IDPs at Khaung Doke Khar, Say Tha Mar Gyi and Ohn Taw Gyi 2 camps at Sittwe Township in Rakhine State</t>
  </si>
  <si>
    <t>Emergency support for people displaced by the conflict in Kachin State, Myanmar</t>
  </si>
  <si>
    <t>DWHH</t>
  </si>
  <si>
    <t xml:space="preserve"> Improvement of Community Drinking Water Supply and Strengthening of Communal Structures of Marginalised Population in Northern Shan State as well as Humanitarian Assistance to IDP due to the armed conflict in Kachin State (PN: 20121882.5)</t>
  </si>
  <si>
    <t>HIDA</t>
  </si>
  <si>
    <t>Provision of water and sanitation facilities, and non-food relief items - IDPs in Kachin State (M013859)</t>
  </si>
  <si>
    <t>Humanitarian Assistance to Internally Dispalced Persons in Kachin
Addendum</t>
  </si>
  <si>
    <t xml:space="preserve">Humanitarian Assistance to Internally Dispalced Persons in Kachin
</t>
  </si>
  <si>
    <t>Humanitarian Assistance to Internally Dispalced Persons in Kachin</t>
  </si>
  <si>
    <t>ERF</t>
  </si>
  <si>
    <t>Humanitarian assitance to internally displaced persons in Kachin State</t>
  </si>
  <si>
    <t>Supporting life saving health interventions in conflict affected populations in Northern Shan State, Myanmar</t>
  </si>
  <si>
    <t>Oxfam GB</t>
  </si>
  <si>
    <t>KBC/Shalom</t>
  </si>
  <si>
    <t>Emergency Response for Conflict-Affected Population in Kachin and Northern Shan</t>
  </si>
  <si>
    <t>Data input on 17/10/2013</t>
  </si>
  <si>
    <t>Same project than previous one, co-financing</t>
  </si>
  <si>
    <t>Plan</t>
  </si>
  <si>
    <t>SCI</t>
  </si>
  <si>
    <t>Emergency Assistance to Conflict Affected Populations in Myanmar</t>
  </si>
  <si>
    <t>Emergency WASH support for the affected population in Southern Kachin State</t>
  </si>
  <si>
    <t>Water, Sanitation and Hygiene assistance for IDPs affected by the conflict in Southern Kachin State (ECHO/-XA/BUD/2012/91023)</t>
  </si>
  <si>
    <t>Part of global project including Rakhines. For activities the 58% remaining are for Winter kits and assesment of new sites.</t>
  </si>
  <si>
    <t xml:space="preserve"> WASH activities and distribution of non-food items in the Bhamo camps</t>
  </si>
  <si>
    <t>Completed</t>
  </si>
  <si>
    <t>Cofi-UNICEF-CERF//ECHO The reported beneficiaries are under the ECHO Project for both of those project // ----------------------------------------------------------------the remaining 35% for the distribution of Winter Kits</t>
  </si>
  <si>
    <t>Water, Sanitation and Hygiene rapid response to internal displacements in Kachin and Northern Shan States</t>
  </si>
  <si>
    <t>Integrated WaSH assistance to IDPs affected by conflict
 in Kachin State</t>
  </si>
  <si>
    <t>Trocaire</t>
  </si>
  <si>
    <t>WASH activity and distribution of Hygiene Kits in Myitkyina and Lashio</t>
  </si>
  <si>
    <t>Secondment of a WASH emergency officer to UNICEF for work in Kachin</t>
  </si>
  <si>
    <t>Secondment of a WASH emergency Capacity building to UNICEF for work in Kachin</t>
  </si>
  <si>
    <t>List status</t>
  </si>
  <si>
    <t>In soumission</t>
  </si>
  <si>
    <t>Rajouter CERF recu et difference commited</t>
  </si>
  <si>
    <t>WASH CLUSTER STRATEGY QUANTITATIVE OBJECTIVE FOLLOW UP</t>
  </si>
  <si>
    <t>Target population</t>
  </si>
  <si>
    <t>Presently targetted</t>
  </si>
  <si>
    <t>% Targetted</t>
  </si>
  <si>
    <t>Remarks</t>
  </si>
  <si>
    <t>Target review in consideration of population update in 4W</t>
  </si>
  <si>
    <r>
      <t xml:space="preserve">Indicators Follow up </t>
    </r>
    <r>
      <rPr>
        <b/>
        <i/>
        <sz val="11"/>
        <color theme="0"/>
        <rFont val="Calibri"/>
        <family val="2"/>
        <scheme val="minor"/>
      </rPr>
      <t>(only quantativally measurable, taken form cluster strategy)</t>
    </r>
  </si>
  <si>
    <t>Objective 1, indicators:</t>
  </si>
  <si>
    <t>Target</t>
  </si>
  <si>
    <t>Achieved</t>
  </si>
  <si>
    <t>Verification sources</t>
  </si>
  <si>
    <t>4W</t>
  </si>
  <si>
    <t>Objective 2, indicators:</t>
  </si>
  <si>
    <t>Objective 3, indicators:</t>
  </si>
  <si>
    <t xml:space="preserve">IDP in GCA camps </t>
  </si>
  <si>
    <t>IDP in NGCA camps</t>
  </si>
  <si>
    <t>Student</t>
  </si>
  <si>
    <t>Small Scale emergency</t>
  </si>
  <si>
    <t>Camp</t>
  </si>
  <si>
    <t>School</t>
  </si>
  <si>
    <t>Potential Number permanent water point missing</t>
  </si>
  <si>
    <t>Number family having ceramic filter</t>
  </si>
  <si>
    <t>nb of persons having rain harvest acess</t>
  </si>
  <si>
    <t>Nb of missing bathing space</t>
  </si>
  <si>
    <t>Nb of missing hand washing station</t>
  </si>
  <si>
    <t>Master 4W WASH  ANALYSIS</t>
  </si>
  <si>
    <t>Master 4W WASH KACHIN</t>
  </si>
  <si>
    <t>Namtu Baptist</t>
  </si>
  <si>
    <t>Doke Htan Ward</t>
  </si>
  <si>
    <t>Village</t>
  </si>
  <si>
    <t>Mu-yin Baptist Church</t>
  </si>
  <si>
    <t>Agritural Compound (KBC)</t>
  </si>
  <si>
    <t>Kachin Su Baptist Church (ECCD)</t>
  </si>
  <si>
    <t>Khar Nan (1) Baptist Church</t>
  </si>
  <si>
    <t>Man Bung Edin Baptist Church</t>
  </si>
  <si>
    <t xml:space="preserve">Tarli </t>
  </si>
  <si>
    <t>Namkham</t>
  </si>
  <si>
    <t>Bang Lung</t>
  </si>
  <si>
    <t>Jaw 2</t>
  </si>
  <si>
    <t xml:space="preserve">these IDPs are using nearest water sources </t>
  </si>
  <si>
    <t>Chipwi (School coumpound)</t>
  </si>
  <si>
    <t>Japan</t>
  </si>
  <si>
    <t>Emergency WASH assistance and Food Security and Livelihood support to vulnerable populations affected by conflicts in Rakhine and Kachin States</t>
  </si>
  <si>
    <t>SC seed funding</t>
  </si>
  <si>
    <t>MMR Kachin  Humanitarian Response</t>
  </si>
  <si>
    <t>Humanitarian assistance to populations affected by vioence in Rakhine &amp; Kachin States</t>
  </si>
  <si>
    <t>SIDA</t>
  </si>
  <si>
    <t>MMR Emergency assistance to populations affected by displacement and violence in Kachin State</t>
  </si>
  <si>
    <t>Muse KBC Church</t>
  </si>
  <si>
    <t>Muse RC Church</t>
  </si>
  <si>
    <t>Loi Je RC Boarding School</t>
  </si>
  <si>
    <t>Camp_P_Code</t>
  </si>
  <si>
    <t>MMR001CMP001</t>
  </si>
  <si>
    <t>MMR001CMP002</t>
  </si>
  <si>
    <t>MMR001CMP003</t>
  </si>
  <si>
    <t>MMR001CMP004</t>
  </si>
  <si>
    <t>MMR001CMP005</t>
  </si>
  <si>
    <t>MMR001CMP006</t>
  </si>
  <si>
    <t>MMR001CMP007</t>
  </si>
  <si>
    <t>MMR001CMP009</t>
  </si>
  <si>
    <t>MMR001CMP008</t>
  </si>
  <si>
    <t>MMR001CMP010</t>
  </si>
  <si>
    <t>MMR001CMP011</t>
  </si>
  <si>
    <t>MMR001CMP012</t>
  </si>
  <si>
    <t>MMR001CMP013</t>
  </si>
  <si>
    <t>MMR001CMP014</t>
  </si>
  <si>
    <t>MMR001CMP015</t>
  </si>
  <si>
    <t>MMR001CMP016</t>
  </si>
  <si>
    <t>MMR001CMP018</t>
  </si>
  <si>
    <t>MMR001CMP019</t>
  </si>
  <si>
    <t>MMR001CMP020</t>
  </si>
  <si>
    <t>MMR001CMP021</t>
  </si>
  <si>
    <t>MMR001CMP022</t>
  </si>
  <si>
    <t>MMR001CMP023</t>
  </si>
  <si>
    <t>MMR001CMP024</t>
  </si>
  <si>
    <t>MMR001CMP162</t>
  </si>
  <si>
    <t>MMR001CMP050</t>
  </si>
  <si>
    <t>MMR001CMP194</t>
  </si>
  <si>
    <t>MMR001CMP052</t>
  </si>
  <si>
    <t>MMR001CMP049</t>
  </si>
  <si>
    <t>MMR001CMP051</t>
  </si>
  <si>
    <t>MMR001CMP054</t>
  </si>
  <si>
    <t>MMR001CMP193</t>
  </si>
  <si>
    <t>MMR001CMP047</t>
  </si>
  <si>
    <t>MMR001CMP055</t>
  </si>
  <si>
    <t>MMR001CMP053</t>
  </si>
  <si>
    <t>MMR001CMP042</t>
  </si>
  <si>
    <t>MMR001CMP043</t>
  </si>
  <si>
    <t>MMR001CMP195</t>
  </si>
  <si>
    <t>MMR001CMP210</t>
  </si>
  <si>
    <t>MMR001CMP179</t>
  </si>
  <si>
    <t>MMR001CMP168</t>
  </si>
  <si>
    <t>MMR001CMP176</t>
  </si>
  <si>
    <t>MMR001CMP190</t>
  </si>
  <si>
    <t>MMR001CMP169</t>
  </si>
  <si>
    <t>MMR001CMP109</t>
  </si>
  <si>
    <t>MMR001CMP174</t>
  </si>
  <si>
    <t>MMR001CMP148</t>
  </si>
  <si>
    <t>MMR001CMP191</t>
  </si>
  <si>
    <t>MMR001CMP181</t>
  </si>
  <si>
    <t>MMR001CMP167</t>
  </si>
  <si>
    <t>MMR001CMP091</t>
  </si>
  <si>
    <t>MMR001CMP192</t>
  </si>
  <si>
    <t>MMR001CMP103</t>
  </si>
  <si>
    <t>MMR001CMP182</t>
  </si>
  <si>
    <t>MMR001CMP183</t>
  </si>
  <si>
    <t>MMR001CMP184</t>
  </si>
  <si>
    <t>MMR001CMP105</t>
  </si>
  <si>
    <t>MMR001CMP074</t>
  </si>
  <si>
    <t>MMR015CMP015</t>
  </si>
  <si>
    <t>MMR015CMP016</t>
  </si>
  <si>
    <t>MMR015CMP017</t>
  </si>
  <si>
    <t>MMR015CMP018</t>
  </si>
  <si>
    <t>MMR015CMP006</t>
  </si>
  <si>
    <t>MMR015CMP019</t>
  </si>
  <si>
    <t>MMR001CMP129</t>
  </si>
  <si>
    <t>MMR001CMP202</t>
  </si>
  <si>
    <t>MMR001CMP128</t>
  </si>
  <si>
    <t>MMR001CMP212</t>
  </si>
  <si>
    <t>MMR001CMP213</t>
  </si>
  <si>
    <t>MMR001CMP133</t>
  </si>
  <si>
    <t>MMR001CMP132</t>
  </si>
  <si>
    <t>MMR001CMP066</t>
  </si>
  <si>
    <t>MMR001CMP077</t>
  </si>
  <si>
    <t>MMR001CMP079</t>
  </si>
  <si>
    <t>MMR001CMP078</t>
  </si>
  <si>
    <t>MMR001CMP080</t>
  </si>
  <si>
    <t>MMR001CMP152</t>
  </si>
  <si>
    <t>MMR001CMP123</t>
  </si>
  <si>
    <t>MMR001CMP197</t>
  </si>
  <si>
    <t>MMR001CMP122</t>
  </si>
  <si>
    <t>MMR001CMP121</t>
  </si>
  <si>
    <t>MMR001CMP200</t>
  </si>
  <si>
    <t>MMR001CMP071</t>
  </si>
  <si>
    <t>MMR001CMP069</t>
  </si>
  <si>
    <t>MMR001CMP070</t>
  </si>
  <si>
    <t>MMR001CMP064</t>
  </si>
  <si>
    <t>MMR001CMP062</t>
  </si>
  <si>
    <t>MMR001CMP063</t>
  </si>
  <si>
    <t>MMR001CMP058</t>
  </si>
  <si>
    <t>MMR001CMP056</t>
  </si>
  <si>
    <t>MMR001CMP061</t>
  </si>
  <si>
    <t>MMR001CMP059</t>
  </si>
  <si>
    <t>MMR001CMP060</t>
  </si>
  <si>
    <t>MMR015CMP004</t>
  </si>
  <si>
    <t>MMR015CMP001</t>
  </si>
  <si>
    <t>MMR015CMP003</t>
  </si>
  <si>
    <t>MMR001CMP075</t>
  </si>
  <si>
    <t>MMR001CMP067</t>
  </si>
  <si>
    <t>MMR001CMP068</t>
  </si>
  <si>
    <t>MMR001CMP199</t>
  </si>
  <si>
    <t>MMR001CMP113</t>
  </si>
  <si>
    <t>MMR001CMP028</t>
  </si>
  <si>
    <t>MMR001CMP115</t>
  </si>
  <si>
    <t>MMR001CMP208</t>
  </si>
  <si>
    <t>MMR001CMP027</t>
  </si>
  <si>
    <t>MMR001CMP119</t>
  </si>
  <si>
    <t>MMR001CMP031</t>
  </si>
  <si>
    <t>MMR001CMP029</t>
  </si>
  <si>
    <t>MMR001CMP040</t>
  </si>
  <si>
    <t>MMR001CMP039</t>
  </si>
  <si>
    <t>MMR001CMP033</t>
  </si>
  <si>
    <t>MMR001CMP120</t>
  </si>
  <si>
    <t>MMR001CMP160</t>
  </si>
  <si>
    <t>MMR001CMP032</t>
  </si>
  <si>
    <t>MMR001CMP025</t>
  </si>
  <si>
    <t>MMR001CMP030</t>
  </si>
  <si>
    <t>MMR001CMP026</t>
  </si>
  <si>
    <t>MMR001CMP041</t>
  </si>
  <si>
    <t>MMR001CMP037</t>
  </si>
  <si>
    <t>MMR001CMP038</t>
  </si>
  <si>
    <t>MMR001CMP116</t>
  </si>
  <si>
    <t>MMR001CMP111</t>
  </si>
  <si>
    <t>Start fund</t>
  </si>
  <si>
    <t>Oxfam</t>
  </si>
  <si>
    <t>Emergency Response for Conflict-Affected Population in Kachin and Northern Shan 14/15</t>
  </si>
  <si>
    <t xml:space="preserve">Data input on 09/06/2014. Note this funding does not enable full coverage with hygiene kits in GCA camps. Oxfam will submit to UNICEF a proposal to cover the gap, but targeting will also be established this year due to increasing livlihoods and decreasing donor funds. </t>
  </si>
  <si>
    <t>Population</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</si>
  <si>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</si>
  <si>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Tat Kone (Ra Da Kawng)</t>
  </si>
  <si>
    <t>Girl Boarding house, A Len Bum</t>
  </si>
  <si>
    <t>Boys Boarding house, A Len Bum</t>
  </si>
  <si>
    <t>Bum Tsit Pa * (1)</t>
  </si>
  <si>
    <t>Bum Tsit Pa * (2)</t>
  </si>
  <si>
    <t xml:space="preserve">Pa Kahtawng Boarding Middle School </t>
  </si>
  <si>
    <t xml:space="preserve">Pa Kahtawng Boarding High School </t>
  </si>
  <si>
    <t>Pa Kahtawng 2</t>
  </si>
  <si>
    <t>Pa Kahtawng 1B</t>
  </si>
  <si>
    <t>Pa Kahtawng 1 A</t>
  </si>
  <si>
    <t>Pa Kahtawng Host Families</t>
  </si>
  <si>
    <t>MWG -RC2</t>
  </si>
  <si>
    <t>Nam Hkawng/Manaung kaung</t>
  </si>
  <si>
    <t>Mandung - Jinghpaw</t>
  </si>
  <si>
    <t>Mandung - RC</t>
  </si>
  <si>
    <t>(Nam Hoi) Host families</t>
  </si>
  <si>
    <t>Gap</t>
  </si>
  <si>
    <r>
      <rPr>
        <b/>
        <sz val="10"/>
        <color rgb="FFFF0000"/>
        <rFont val="Calibri"/>
        <family val="2"/>
        <scheme val="minor"/>
      </rPr>
      <t>%</t>
    </r>
    <r>
      <rPr>
        <b/>
        <sz val="10"/>
        <color theme="1"/>
        <rFont val="Calibri"/>
        <family val="2"/>
        <scheme val="minor"/>
      </rPr>
      <t xml:space="preserve"> Household covered with Household filtration </t>
    </r>
  </si>
  <si>
    <t>Incinerator operational</t>
  </si>
  <si>
    <t xml:space="preserve">Development of Lifesaving WASH Facilities in tandem with New Shelter Construction for IDPs
</t>
  </si>
  <si>
    <t>DONORS FUNDS PARTICIPATION</t>
  </si>
  <si>
    <t>Sum of Approximate fund 2014 regarding project date implementation</t>
  </si>
  <si>
    <t>AD-2000 Extension camp</t>
  </si>
  <si>
    <t>Loi Je Lisu  (1) Camp</t>
  </si>
  <si>
    <t>Loi Je Lisu  (2) Camp</t>
  </si>
  <si>
    <t>Loi Je Lisu  (3) Camp</t>
  </si>
  <si>
    <t>MMR015CMP009</t>
  </si>
  <si>
    <t>MDCG supported WASH-Shelter as HH level (no need to construct semi-parmanent)/ bathing space was ongoing activities by Metta</t>
  </si>
  <si>
    <t>Sum of # Semi permanent latrines missing</t>
  </si>
  <si>
    <t>Sum of Coverage Full HK %</t>
  </si>
  <si>
    <t>Population receiving HP at HH level</t>
  </si>
  <si>
    <t>Count of Latrines gender sperated</t>
  </si>
  <si>
    <t>Targetted</t>
  </si>
  <si>
    <t>Count of Targetted</t>
  </si>
  <si>
    <t>Covered</t>
  </si>
  <si>
    <t>Not covered</t>
  </si>
  <si>
    <t>Count of Documented</t>
  </si>
  <si>
    <t>% Water Need coverage</t>
  </si>
  <si>
    <t>% Latrine need coverage</t>
  </si>
  <si>
    <t>% Bathroom need coverage</t>
  </si>
  <si>
    <t>%  Latrine need coverage</t>
  </si>
  <si>
    <t>Count of Rank coverage</t>
  </si>
  <si>
    <t>% Coverage Permanent Latrine</t>
  </si>
  <si>
    <t>% Coverage Emergency latrine</t>
  </si>
  <si>
    <t>%Coverage Permanent Latrine</t>
  </si>
  <si>
    <t>% Coverage Full HK</t>
  </si>
  <si>
    <t>% Coverage HP session at HH level</t>
  </si>
  <si>
    <t>% Coverage projection end of project</t>
  </si>
  <si>
    <t>% Projection latrine need coverage EOP</t>
  </si>
  <si>
    <t>% Projection Bathrrom coverage EOP</t>
  </si>
  <si>
    <t>%  Coverage Emergency latrine</t>
  </si>
  <si>
    <r>
      <t xml:space="preserve"># of Bathing space </t>
    </r>
    <r>
      <rPr>
        <b/>
        <sz val="10"/>
        <color rgb="FFFF0000"/>
        <rFont val="Calibri"/>
        <family val="2"/>
        <scheme val="minor"/>
      </rPr>
      <t>(1 unit for 100 persons)</t>
    </r>
  </si>
  <si>
    <t>N-Lwe Yan</t>
  </si>
  <si>
    <t>Phan Khar Kone*</t>
  </si>
  <si>
    <t>Pa Kahtawng Primary House</t>
  </si>
  <si>
    <t>Clutural Compound</t>
  </si>
  <si>
    <t>% Water coverage</t>
  </si>
  <si>
    <t>% Latrine coverage</t>
  </si>
  <si>
    <t>% Bathroom coverage</t>
  </si>
  <si>
    <t>DFAT</t>
  </si>
  <si>
    <t>Before 2014</t>
  </si>
  <si>
    <t>2014</t>
  </si>
  <si>
    <t>Visualisation for Snapshot</t>
  </si>
  <si>
    <t>Total targetted population</t>
  </si>
  <si>
    <t>Graph set up</t>
  </si>
  <si>
    <t>Target population reach</t>
  </si>
  <si>
    <t>Target population not reah</t>
  </si>
  <si>
    <t>Objective 1: water access</t>
  </si>
  <si>
    <t>Objective 2: sanitation access</t>
  </si>
  <si>
    <t>WaSH assistance to IDPs affected by conflict
 in Kachin State</t>
  </si>
  <si>
    <t>MMR001CMP229</t>
  </si>
  <si>
    <t>MMR001CMP147</t>
  </si>
  <si>
    <t>Woi Chyai (Mong Lai)</t>
  </si>
  <si>
    <t>Woi Chyai  host families</t>
  </si>
  <si>
    <t>MMR001CMP227</t>
  </si>
  <si>
    <t>MMR001CMP072</t>
  </si>
  <si>
    <t>MMR001CMP073</t>
  </si>
  <si>
    <t>MMR001CMP131</t>
  </si>
  <si>
    <t>MMR001CMP126</t>
  </si>
  <si>
    <t>MMR001CMP196</t>
  </si>
  <si>
    <t>MMR001CMP163</t>
  </si>
  <si>
    <t>MMR001CMP230</t>
  </si>
  <si>
    <t>MMR001CMP228</t>
  </si>
  <si>
    <t>MMR015CMP213</t>
  </si>
  <si>
    <t>MMR015CMP216</t>
  </si>
  <si>
    <t>MMR015CMP215</t>
  </si>
  <si>
    <t>MMR015CMP214</t>
  </si>
  <si>
    <t>MMR015CMP209</t>
  </si>
  <si>
    <t>Not reachable location</t>
  </si>
  <si>
    <t>SANITATION</t>
  </si>
  <si>
    <t>HYGIENE KIT</t>
  </si>
  <si>
    <t>Project Analysis</t>
  </si>
  <si>
    <t>Approximate Fund 2015 regarding project date implementation</t>
  </si>
  <si>
    <t>2015</t>
  </si>
  <si>
    <t>Improving water access, hygiene and sanitation conditions of the conflict affected population in Kachin and Rakhine States</t>
  </si>
  <si>
    <t>Part of global project including Rakhine State</t>
  </si>
  <si>
    <t>Water, Sanitation and Hygiene rapid response for people affected by conflict induced displacements and natural disasters in Kachin and Northern Shan States</t>
  </si>
  <si>
    <t>The targeting of beneifciaries cannot be detailed as this project aims at answering to new emergency following displacement or natural hazards</t>
  </si>
  <si>
    <t>IDP in host community</t>
  </si>
  <si>
    <t>To be measured through partner EP&amp;R action, cumulative</t>
  </si>
  <si>
    <t>Population targetted</t>
  </si>
  <si>
    <t>Nb of sites</t>
  </si>
  <si>
    <t>Emergency support for displaced and hosting communities affected by the Kachin conflict, Myanmar</t>
  </si>
  <si>
    <t>Bum Tsit Pa * (3)</t>
  </si>
  <si>
    <t>Momauk Host Families</t>
  </si>
  <si>
    <t>Bhamo Host Families</t>
  </si>
  <si>
    <t>Review target HRP 2015</t>
  </si>
  <si>
    <t>Nb of affected household</t>
  </si>
  <si>
    <t>No Plan for Semi permanent latrines construction</t>
  </si>
  <si>
    <t>Hseni</t>
  </si>
  <si>
    <t>MMR001CMP231</t>
  </si>
  <si>
    <t>Ku Day Maw KBC</t>
  </si>
  <si>
    <t>Loi Je Lisu  (4) Camp</t>
  </si>
  <si>
    <t>45-60%</t>
  </si>
  <si>
    <t>MMR001CMP225</t>
  </si>
  <si>
    <t xml:space="preserve">Pan Wa (Saw Zam) camp </t>
  </si>
  <si>
    <t>Mansi Host Families</t>
  </si>
  <si>
    <t>Shwegu Host Families</t>
  </si>
  <si>
    <r>
      <t>Solidarit</t>
    </r>
    <r>
      <rPr>
        <b/>
        <sz val="10"/>
        <color theme="1"/>
        <rFont val="Arial"/>
        <family val="2"/>
      </rPr>
      <t>é</t>
    </r>
    <r>
      <rPr>
        <b/>
        <sz val="10"/>
        <color theme="1"/>
        <rFont val="Cambria"/>
        <family val="1"/>
        <scheme val="major"/>
      </rPr>
      <t>s International</t>
    </r>
  </si>
  <si>
    <t>SCI/Oxfam</t>
  </si>
  <si>
    <t>Pan Ku</t>
  </si>
  <si>
    <t>Basic Hygiene kits already distributed by SCI and Overlappin with SCI</t>
  </si>
  <si>
    <t>Contribute to improved living conditions for conflict affected children and their families in Kachin/NSS states</t>
  </si>
  <si>
    <t>MMR Humanitarian Assistance for Households Affected Kacin State, Burma</t>
  </si>
  <si>
    <t>Objective 3: Hygiene promotion</t>
  </si>
  <si>
    <t>Population with equitable access to sufficient and sustainable quantity of safe drinking and domestic water</t>
  </si>
  <si>
    <t>Population with equitable access to safe and sustainable sanitation facilities</t>
  </si>
  <si>
    <t>Population with basic knowledge of diarrheal disease transmission and prevention</t>
  </si>
  <si>
    <t>Small scale emergency</t>
  </si>
  <si>
    <t>HRP Wash Strategy target:</t>
  </si>
  <si>
    <t>IDP GCA</t>
  </si>
  <si>
    <t xml:space="preserve"> IDP NGCA</t>
  </si>
  <si>
    <t>4w</t>
  </si>
  <si>
    <t>Report</t>
  </si>
  <si>
    <t>% Achiement</t>
  </si>
  <si>
    <t>% achievement</t>
  </si>
  <si>
    <t>Kap results</t>
  </si>
  <si>
    <t>UNICEF HPM Indicators</t>
  </si>
  <si>
    <t>2015 HAC Target</t>
  </si>
  <si>
    <t>-</t>
  </si>
  <si>
    <t>Live saving Emergency aid to internally displaced people in  Kachin state,Myanmar.</t>
  </si>
  <si>
    <t>Only on HK</t>
  </si>
  <si>
    <t>Kachin Comprehensive humanitarian response phases 6</t>
  </si>
  <si>
    <t>FCA</t>
  </si>
  <si>
    <t>Humanitarian Assistance to Internally Dispalced Persons in NSS</t>
  </si>
  <si>
    <t>this fund allocation is for only Metta (LSO) office and updated in May 15</t>
  </si>
  <si>
    <t>Humanitarian Assistance to People Displaced in Kachin and Northern Shan State-Myanmar</t>
  </si>
  <si>
    <t>ADRA</t>
  </si>
  <si>
    <t>Support for conflict affected internally displaced person in Kachin (SCAIDP)</t>
  </si>
  <si>
    <t>150087 (canada Dolllar)</t>
  </si>
  <si>
    <t>Kap result</t>
  </si>
  <si>
    <t>Ending date funds/project coverage</t>
  </si>
  <si>
    <t>Count of Site</t>
  </si>
  <si>
    <t>Emergency response for IDP in Kachin 2015/16 (HIP 2015)</t>
  </si>
  <si>
    <t>Kachin Humanitarian Response (CIDA II)</t>
  </si>
  <si>
    <t>01/04/2015</t>
  </si>
  <si>
    <t>31/03/2016</t>
  </si>
  <si>
    <t>MMR001CMP234</t>
  </si>
  <si>
    <t>Lung Sut</t>
  </si>
  <si>
    <t>MMR015CMP218</t>
  </si>
  <si>
    <t>Nam Sa Larp</t>
  </si>
  <si>
    <t>MMR001CMP235</t>
  </si>
  <si>
    <t>Sar Maw-ICM</t>
  </si>
  <si>
    <t>MMR001CMP236</t>
  </si>
  <si>
    <t>Sar Hmaw - KBC</t>
  </si>
  <si>
    <t>MMR001CMP237</t>
  </si>
  <si>
    <t xml:space="preserve">Ma Hawng RC </t>
  </si>
  <si>
    <t>Water Tank(1)</t>
  </si>
  <si>
    <t>tube-well(1)</t>
  </si>
  <si>
    <t>Bathing space gender separated</t>
  </si>
  <si>
    <t>Estimation</t>
  </si>
  <si>
    <t>Robert Church*</t>
  </si>
  <si>
    <t>Lana Zup Ja *</t>
  </si>
  <si>
    <t>current 2 emergency latrines are funitioned but not safe, it need to upgrade to semi-permannent</t>
  </si>
  <si>
    <t>have a plan to renovate current GFS</t>
  </si>
  <si>
    <t>3 DTW in this camp</t>
  </si>
  <si>
    <t>1 DTW in this camp</t>
  </si>
  <si>
    <t>4 DTW in this camp</t>
  </si>
  <si>
    <t xml:space="preserve">45 gap fuel had supported, </t>
  </si>
  <si>
    <t>need to renovate the curretn bating spaces (not have enough side wall and roofs)</t>
  </si>
  <si>
    <t>Semi-permanent latrines not possible due to rocky land and logisitc issue. 50 latrines have been maintained as pan &amp; pipe contribution and structural mainteance by KBC in Sep 15. All 24 hand washing spaces had also out of used.</t>
  </si>
  <si>
    <t xml:space="preserve">Semi-permanent latrines not possible due to rocky land and logisitc issue. 300 latrines have been maintained as pan &amp; pipe contribution and structural mainteance by KBC in Sep 15. All 51 hand washing spaces had also out of used. </t>
  </si>
  <si>
    <t>Semi-permanent latrines not possible due to rocky land and logisitc issue. 30 latrines have been maintained as pan &amp; pipe contribution and structural mainteance by KBC in Sep 15. All 12 hand washing spaces had out of used.</t>
  </si>
  <si>
    <t>bathin was not need due to 4 HH only living in church compound</t>
  </si>
  <si>
    <t>MDCG supported WASH-Shelter as HH level (no need to construct semi-parmanent), No plan for hand washing space.</t>
  </si>
  <si>
    <t>Emergency Latrines need to decomission, No plan for hand washing space.</t>
  </si>
  <si>
    <t>MDCG + Metta supported WASH-Shelter facilities at  HH level (no need to construct semi-parmanent), no plan for hand washing space.</t>
  </si>
  <si>
    <t>Metta has a plan bathing space construction, no plan for hand washing space. Latrines have been provided at HH level</t>
  </si>
  <si>
    <t>no plan for hand washing space</t>
  </si>
  <si>
    <t>Land owner not  allow  to construct semi latrines and they have plan to move to new place</t>
  </si>
  <si>
    <t>SI will take role of focal from this October 15</t>
  </si>
  <si>
    <t>Metta continue refill HK distribution in this camp</t>
  </si>
  <si>
    <t xml:space="preserve">previous, oxfam had constructed 6 temporary incinerator but those were out of used now. </t>
  </si>
  <si>
    <t>1 temporary incinerator has been out of used</t>
  </si>
  <si>
    <t>30-45%</t>
  </si>
  <si>
    <t>Typology beneficiaries</t>
  </si>
  <si>
    <t>Typology beneficiary</t>
  </si>
  <si>
    <t>IDP in camps</t>
  </si>
  <si>
    <t>IDP in Host Villages</t>
  </si>
  <si>
    <t>Village development</t>
  </si>
  <si>
    <t>Surrounding community</t>
  </si>
  <si>
    <t>IDP in Village type relocation</t>
  </si>
  <si>
    <t>Student in surrounding villages school</t>
  </si>
  <si>
    <t>IDP returned in permanent location</t>
  </si>
  <si>
    <t>IDP population observed by Wash Cluster living in the camp</t>
  </si>
  <si>
    <t>Household filter type</t>
  </si>
  <si>
    <t>Space availability for additional latrines</t>
  </si>
  <si>
    <r>
      <rPr>
        <b/>
        <sz val="10"/>
        <color rgb="FFFF0000"/>
        <rFont val="Calibri"/>
        <family val="2"/>
      </rPr>
      <t>#</t>
    </r>
    <r>
      <rPr>
        <b/>
        <sz val="10"/>
        <color theme="1"/>
        <rFont val="Calibri"/>
        <family val="2"/>
      </rPr>
      <t xml:space="preserve"> Low cost village type of latrines</t>
    </r>
  </si>
  <si>
    <t>location type</t>
  </si>
  <si>
    <t>Urban</t>
  </si>
  <si>
    <t>Sub-urban</t>
  </si>
  <si>
    <t>Rural</t>
  </si>
  <si>
    <t>Seasonal water shortage</t>
  </si>
  <si>
    <t>Type of Hygiene kit distribution approach</t>
  </si>
  <si>
    <t>% tagetetted</t>
  </si>
  <si>
    <t>HK appraoch</t>
  </si>
  <si>
    <t>Blanket Full HK + consumable refilling</t>
  </si>
  <si>
    <t>Blanket Full HK only</t>
  </si>
  <si>
    <t>Blanket Consumable only</t>
  </si>
  <si>
    <t>Targetted full HK + consumable refilling</t>
  </si>
  <si>
    <t>Targetted Consumable only</t>
  </si>
  <si>
    <t>Associated with H.E as incentive</t>
  </si>
  <si>
    <t>No more HK distribution</t>
  </si>
  <si>
    <t>MMR001CMP188</t>
  </si>
  <si>
    <t>Baptist Church, Naung Hmee VT</t>
  </si>
  <si>
    <t>DFID</t>
  </si>
  <si>
    <t>WHH</t>
  </si>
  <si>
    <t>Ceramic Water filter</t>
  </si>
  <si>
    <t>Water Filter Made in China</t>
  </si>
  <si>
    <t xml:space="preserve">will provide one Water Tank </t>
  </si>
  <si>
    <t xml:space="preserve">Metta is ongoing mataining the existing GFS </t>
  </si>
  <si>
    <t>Metta implemented Bio sand filter pilot project</t>
  </si>
  <si>
    <t xml:space="preserve">Semi-permanent latrines not possible due to rocky land and logisitc issue. Old 10 Hand washing were already out of used. </t>
  </si>
  <si>
    <t>old 2 Hand washing were already out of used.</t>
  </si>
  <si>
    <t>a bathing space was removed due to land owner filled gravel into a land</t>
  </si>
  <si>
    <t xml:space="preserve">community is washing their hand at bathing space that was near from the latrines </t>
  </si>
  <si>
    <t>20 semi-permanent latrine were constructed by KBC</t>
  </si>
  <si>
    <t xml:space="preserve">Four latrines are closded, no space to construct new latrine due to lack of space. Need to do desludging. </t>
  </si>
  <si>
    <t>20 latrines are need to decomission, SCI will do desludging for 25 units of latrines</t>
  </si>
  <si>
    <t>SCI done desludging for 4 units</t>
  </si>
  <si>
    <t>old 6 Hand washing were already out of used.</t>
  </si>
  <si>
    <t>old 3 Hand washing were already out of used.</t>
  </si>
  <si>
    <t>3 Hand washing were already out of used.</t>
  </si>
  <si>
    <t>Land limited to construct more latrines and WASH facilities, old 3 Hand washing were already out of used.</t>
  </si>
  <si>
    <t>9 Hand washing were already out of used</t>
  </si>
  <si>
    <t>due to IDPs used individual bathing spaces, no need to construct more, old 3 Hand washing were already out of used</t>
  </si>
  <si>
    <t>old 12 Hand washing were already out of used</t>
  </si>
  <si>
    <t>6 Hand washing were already out of used</t>
  </si>
  <si>
    <t>12 Hand washing were already out of used.</t>
  </si>
  <si>
    <t>1 Hand washing were already out of used</t>
  </si>
  <si>
    <t>old 4 Hand washing were already out of used</t>
  </si>
  <si>
    <t xml:space="preserve">12 Hand washing were already out of used. </t>
  </si>
  <si>
    <t>SCI have plan to do desludging</t>
  </si>
  <si>
    <t>KMSS has a desluging Plan</t>
  </si>
  <si>
    <t>old 3 Hand washing were already out of used</t>
  </si>
  <si>
    <t xml:space="preserve">10 latrines have been decommisioned </t>
  </si>
  <si>
    <t>due to IDPs used individual bathing spaces, no need to construct more. All 45 hand washing space were also out of used.</t>
  </si>
  <si>
    <t>Some household has alaready moved to new location (have a plan to move all HHs to this new site. All 3 hand washing spaces were out of used.</t>
  </si>
  <si>
    <t>Semi-permanent latrines not possible due to rocky land and logisitc issue. 70 latrines have been maintained as pan &amp; pipe contribution and structural mainteance by KBC in Sep 15. All 24 hand washing spaces were out of used.</t>
  </si>
  <si>
    <t>every host families have a latrine</t>
  </si>
  <si>
    <t>Semi-permanent latrines not possible due to rocky land and logisitc issue. 250 latrines have been maintained as pan &amp; pipe contribution and structural mainteance by KBC in Sep 15. All 54 hand washing spaces were out of used.</t>
  </si>
  <si>
    <t>last refill HK distributed was in July 15 and it covered 3 months</t>
  </si>
  <si>
    <t>Metta will cover refill HK distribution in this camp until May 2016</t>
  </si>
  <si>
    <t>hygiene awareness is conducting by volunteer from Htoi San camp</t>
  </si>
  <si>
    <t>Shalom is implementing pilot WASH committee capacity strengthen activities mainly in this Hpakant area</t>
  </si>
  <si>
    <t>temporary incinerator was implemented as pilot by Oxfam but it was not functioning now</t>
  </si>
  <si>
    <t>Bathing Space shared by families , not separated</t>
  </si>
  <si>
    <t>Targetted Full HK only</t>
  </si>
  <si>
    <t>Part of global WASH project with Rakhine State - Costs in EUROS</t>
  </si>
  <si>
    <t>SCI/KBC</t>
  </si>
  <si>
    <t>Water, Sanitation Hygiene and emergency Shelter and NFI rapid response for people affected by conflict induced displacements and natural disasters in Kachin and Northern Shan States</t>
  </si>
  <si>
    <t>Emergency programme (approximate numbers)</t>
  </si>
  <si>
    <t>Conflict sensitive humanitarian assistance to conflict affected populations in Kachin/NSS</t>
  </si>
  <si>
    <r>
      <t xml:space="preserve">Population </t>
    </r>
    <r>
      <rPr>
        <b/>
        <sz val="11"/>
        <color rgb="FFFF0000"/>
        <rFont val="Calibri"/>
        <family val="2"/>
        <scheme val="minor"/>
      </rPr>
      <t>actually</t>
    </r>
    <r>
      <rPr>
        <b/>
        <sz val="11"/>
        <color theme="1"/>
        <rFont val="Calibri"/>
        <family val="2"/>
        <scheme val="minor"/>
      </rPr>
      <t xml:space="preserve"> assisted with an UNICEF Wash project </t>
    </r>
  </si>
  <si>
    <r>
      <rPr>
        <b/>
        <sz val="11"/>
        <color rgb="FFFF0000"/>
        <rFont val="Calibri"/>
        <family val="2"/>
        <scheme val="minor"/>
      </rPr>
      <t>Pas</t>
    </r>
    <r>
      <rPr>
        <b/>
        <sz val="11"/>
        <color theme="1"/>
        <rFont val="Calibri"/>
        <family val="2"/>
        <scheme val="minor"/>
      </rPr>
      <t>t beneficiary with finalised project not anymore covered</t>
    </r>
  </si>
  <si>
    <t>Cumulated 2015  beneficiary target</t>
  </si>
  <si>
    <t>Actual coverage</t>
  </si>
  <si>
    <t>% Cumulative achievement</t>
  </si>
  <si>
    <t>4W and past 4W</t>
  </si>
  <si>
    <t>Sum of IDP population observed by Wash Cluster living in the camp</t>
  </si>
  <si>
    <t>Site Name</t>
  </si>
  <si>
    <t>Project Ending Date</t>
  </si>
  <si>
    <t>Emergency WASH for IDPs in  Hpakant Township</t>
  </si>
  <si>
    <t>Approximate Fund 2016 regarding project date implementation</t>
  </si>
  <si>
    <t>2016</t>
  </si>
  <si>
    <t>No limitation</t>
  </si>
  <si>
    <t>Land availability</t>
  </si>
  <si>
    <t>Land authoristaion</t>
  </si>
  <si>
    <t>Environment limitation</t>
  </si>
  <si>
    <t>MMR001CMP134</t>
  </si>
  <si>
    <t>Man Wing Host Families</t>
  </si>
  <si>
    <t>MMR015CMP210</t>
  </si>
  <si>
    <t>Nam Tu RC</t>
  </si>
  <si>
    <t>MMR001CMP232</t>
  </si>
  <si>
    <t>Hopin Host Families</t>
  </si>
  <si>
    <t>MMR001CMP233</t>
  </si>
  <si>
    <t>Moenyin Host Families</t>
  </si>
  <si>
    <t>MMR001CMP240</t>
  </si>
  <si>
    <t>Dawthponeyan Boarding School</t>
  </si>
  <si>
    <t>MMR001CMP065</t>
  </si>
  <si>
    <t xml:space="preserve">Phar Kay/Nant Waing </t>
  </si>
  <si>
    <t>MMR015CMP022</t>
  </si>
  <si>
    <t>Hpai Kawng Mare</t>
  </si>
  <si>
    <t>MMR015CMP012</t>
  </si>
  <si>
    <t xml:space="preserve">Munekoe Pa (Giwang) - Hka San (Mung  Go  Pa ) </t>
  </si>
  <si>
    <t>MMR015CMP005</t>
  </si>
  <si>
    <t xml:space="preserve">Mung Baw </t>
  </si>
  <si>
    <t>Sumprabum</t>
  </si>
  <si>
    <t>MMR001CMP238</t>
  </si>
  <si>
    <t>MMR001CMP239</t>
  </si>
  <si>
    <t xml:space="preserve"> </t>
  </si>
  <si>
    <t xml:space="preserve"> No plan for Hand Washing space.</t>
  </si>
  <si>
    <t>5 emergency latrines ongoing constructing for new IDPs.</t>
  </si>
  <si>
    <t>There need latrines upgrade or small latrines constructioning , no plan for hand washing space</t>
  </si>
  <si>
    <t>Kutkai (host High School)</t>
  </si>
  <si>
    <t>Nampaka (Man Mau host school)</t>
  </si>
  <si>
    <t>Man wing gyi (host school)</t>
  </si>
  <si>
    <t>Ndup Yang 1</t>
  </si>
  <si>
    <t>Ndup Yang 2</t>
  </si>
  <si>
    <t>WASH cluster</t>
  </si>
  <si>
    <t>HIDA/WHH/UNICEF</t>
  </si>
  <si>
    <t>HIDA/WHH</t>
  </si>
  <si>
    <t>OFDA / UNICEF</t>
  </si>
  <si>
    <t>ECHO/Unicef</t>
  </si>
  <si>
    <t>WHH / UNICEF</t>
  </si>
  <si>
    <t>NO</t>
  </si>
  <si>
    <t>2 DTW in this camp</t>
  </si>
  <si>
    <t>3 shallow tube well with engine  in this camp</t>
  </si>
  <si>
    <t xml:space="preserve">1 DTW  in this camp </t>
  </si>
  <si>
    <t>TDC water supply</t>
  </si>
  <si>
    <t>We have plan 4 Semi- permanent Latrine</t>
  </si>
  <si>
    <t>refilling kit, laundry soap(shwe wah) 1p=1600 g(8 pcs)</t>
  </si>
  <si>
    <t>Metta will cover refill HK distribution in this camp until Feb, 2016</t>
  </si>
  <si>
    <t>Loi Je Seng Ja Extention</t>
  </si>
  <si>
    <t>HIDA, WHH,USAID,UNICEF</t>
  </si>
  <si>
    <t>AusAid</t>
  </si>
  <si>
    <t xml:space="preserve">Water depletion </t>
  </si>
  <si>
    <t>2 stream catchment. Plan to distribute CWF to fill up the gap</t>
  </si>
  <si>
    <t xml:space="preserve">We have plan 8 Semi- permanent Latrine </t>
  </si>
  <si>
    <t>We have plan 16 Semi- permanent Latrine</t>
  </si>
  <si>
    <t>we have plan 1 bathing place in this camp. SI has planned to construct additional 5 Semi-Permanent latrines in this camp</t>
  </si>
  <si>
    <t xml:space="preserve"> semi-permanent construciton is ongoing</t>
  </si>
  <si>
    <t>60-80%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</si>
</sst>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409]d/mmm/yy;@"/>
    <numFmt numFmtId="166" formatCode="dd/mm/yyyy"/>
    <numFmt numFmtId="167" formatCode="_-* #,##0.00_-;\-* #,##0.00_-;_-* &quot;-&quot;??_-;_-@_-"/>
    <numFmt numFmtId="168" formatCode="[$-409]dd\-mmm\-yy;@"/>
    <numFmt numFmtId="169" formatCode="[$-409]d\-mmm\-yy;@"/>
  </numFmts>
  <fonts count="79"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0"/>
      <name val="Arial"/>
      <family val="2"/>
    </font>
    <font>
      <sz val="9"/>
      <color indexed="81"/>
      <name val="Tahoma"/>
      <family val="2"/>
    </font>
    <font>
      <b/>
      <sz val="9"/>
      <color indexed="81"/>
      <name val="Tahoma"/>
      <family val="2"/>
    </font>
    <font>
      <b/>
      <sz val="10"/>
      <color indexed="8"/>
      <name val="Calibri"/>
      <family val="2"/>
    </font>
    <font>
      <b/>
      <sz val="12"/>
      <color indexed="10"/>
      <name val="Calibri"/>
      <family val="2"/>
    </font>
    <font>
      <b/>
      <sz val="10"/>
      <color indexed="10"/>
      <name val="Calibri"/>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b/>
      <sz val="12"/>
      <color theme="3" tint="0.39997558519241921"/>
      <name val="Calibri"/>
      <family val="2"/>
      <scheme val="minor"/>
    </font>
    <font>
      <sz val="12"/>
      <color theme="3" tint="0.39997558519241921"/>
      <name val="Calibri"/>
      <family val="2"/>
      <scheme val="minor"/>
    </font>
    <font>
      <sz val="10"/>
      <name val="Calibri"/>
      <family val="2"/>
      <scheme val="minor"/>
    </font>
    <font>
      <b/>
      <sz val="18"/>
      <color theme="1"/>
      <name val="Calibri"/>
      <family val="2"/>
      <scheme val="minor"/>
    </font>
    <font>
      <b/>
      <sz val="16"/>
      <color theme="3" tint="0.39997558519241921"/>
      <name val="Calibri"/>
      <family val="2"/>
      <scheme val="minor"/>
    </font>
    <font>
      <b/>
      <sz val="10"/>
      <color theme="1"/>
      <name val="Calibri"/>
      <family val="2"/>
    </font>
    <font>
      <b/>
      <sz val="20"/>
      <color theme="1"/>
      <name val="Calibri"/>
      <family val="2"/>
      <scheme val="minor"/>
    </font>
    <font>
      <b/>
      <sz val="14"/>
      <color theme="3" tint="0.39997558519241921"/>
      <name val="Calibri"/>
      <family val="2"/>
      <scheme val="minor"/>
    </font>
    <font>
      <b/>
      <sz val="10"/>
      <name val="Calibri"/>
      <family val="2"/>
    </font>
    <font>
      <b/>
      <sz val="14"/>
      <color indexed="10"/>
      <name val="Calibri"/>
      <family val="2"/>
    </font>
    <font>
      <b/>
      <sz val="14"/>
      <color indexed="8"/>
      <name val="Calibri"/>
      <family val="2"/>
    </font>
    <font>
      <b/>
      <sz val="12"/>
      <name val="Calibri"/>
      <family val="2"/>
      <scheme val="minor"/>
    </font>
    <font>
      <b/>
      <sz val="10"/>
      <color rgb="FFFF0000"/>
      <name val="Calibri"/>
      <family val="2"/>
      <scheme val="minor"/>
    </font>
    <font>
      <b/>
      <sz val="10"/>
      <name val="Calibri"/>
      <family val="2"/>
      <scheme val="minor"/>
    </font>
    <font>
      <b/>
      <sz val="11"/>
      <color rgb="FFFF0000"/>
      <name val="Calibri"/>
      <family val="2"/>
      <scheme val="minor"/>
    </font>
    <font>
      <i/>
      <sz val="11"/>
      <color rgb="FFFF0000"/>
      <name val="Calibri"/>
      <family val="2"/>
      <scheme val="minor"/>
    </font>
    <font>
      <sz val="10"/>
      <color rgb="FF0070C0"/>
      <name val="Arial Narrow"/>
      <family val="2"/>
    </font>
    <font>
      <b/>
      <sz val="10"/>
      <color rgb="FFFF0000"/>
      <name val="Calibri"/>
      <family val="2"/>
    </font>
    <font>
      <b/>
      <sz val="20"/>
      <color theme="0"/>
      <name val="Calibri"/>
      <family val="2"/>
      <scheme val="minor"/>
    </font>
    <font>
      <b/>
      <sz val="16"/>
      <color theme="0"/>
      <name val="Calibri"/>
      <family val="2"/>
      <scheme val="minor"/>
    </font>
    <font>
      <b/>
      <sz val="16"/>
      <color theme="1"/>
      <name val="Calibri"/>
      <family val="2"/>
      <scheme val="minor"/>
    </font>
    <font>
      <sz val="11"/>
      <color rgb="FFFF0000"/>
      <name val="Calibri"/>
      <family val="2"/>
      <scheme val="minor"/>
    </font>
    <font>
      <sz val="11"/>
      <name val="Calibri"/>
      <family val="2"/>
      <scheme val="minor"/>
    </font>
    <font>
      <b/>
      <i/>
      <sz val="11"/>
      <color theme="0"/>
      <name val="Calibri"/>
      <family val="2"/>
      <scheme val="minor"/>
    </font>
    <font>
      <sz val="12"/>
      <color theme="1"/>
      <name val="Calibri"/>
      <family val="2"/>
      <scheme val="minor"/>
    </font>
    <font>
      <i/>
      <sz val="12"/>
      <color theme="1"/>
      <name val="Calibri"/>
      <family val="2"/>
      <scheme val="minor"/>
    </font>
    <font>
      <i/>
      <sz val="9"/>
      <color theme="1"/>
      <name val="Calibri"/>
      <family val="2"/>
      <scheme val="minor"/>
    </font>
    <font>
      <sz val="12"/>
      <color rgb="FFFF0000"/>
      <name val="Calibri"/>
      <family val="2"/>
      <scheme val="minor"/>
    </font>
    <font>
      <b/>
      <sz val="14"/>
      <color rgb="FF000000"/>
      <name val="Calibri"/>
      <family val="2"/>
      <scheme val="minor"/>
    </font>
    <font>
      <sz val="10"/>
      <color theme="1"/>
      <name val="Cambria"/>
      <family val="1"/>
      <scheme val="major"/>
    </font>
    <font>
      <b/>
      <sz val="12"/>
      <color theme="1"/>
      <name val="Cambria"/>
      <family val="1"/>
      <scheme val="major"/>
    </font>
    <font>
      <b/>
      <sz val="14"/>
      <color theme="3" tint="0.39997558519241921"/>
      <name val="Cambria"/>
      <family val="1"/>
      <scheme val="major"/>
    </font>
    <font>
      <b/>
      <sz val="14"/>
      <name val="Cambria"/>
      <family val="1"/>
      <scheme val="major"/>
    </font>
    <font>
      <b/>
      <sz val="14"/>
      <color theme="1"/>
      <name val="Cambria"/>
      <family val="1"/>
      <scheme val="major"/>
    </font>
    <font>
      <b/>
      <sz val="10"/>
      <name val="Cambria"/>
      <family val="1"/>
      <scheme val="major"/>
    </font>
    <font>
      <b/>
      <sz val="10"/>
      <color theme="1"/>
      <name val="Cambria"/>
      <family val="1"/>
      <scheme val="major"/>
    </font>
    <font>
      <sz val="10"/>
      <name val="Cambria"/>
      <family val="1"/>
      <scheme val="major"/>
    </font>
    <font>
      <i/>
      <sz val="10"/>
      <color theme="1"/>
      <name val="Cambria"/>
      <family val="1"/>
      <scheme val="major"/>
    </font>
    <font>
      <sz val="10"/>
      <name val="MS Sans Serif"/>
      <family val="2"/>
    </font>
    <font>
      <b/>
      <sz val="8"/>
      <color indexed="81"/>
      <name val="Tahoma"/>
      <family val="2"/>
    </font>
    <font>
      <sz val="8"/>
      <color indexed="81"/>
      <name val="Tahoma"/>
      <family val="2"/>
    </font>
    <font>
      <sz val="11"/>
      <color theme="0" tint="-0.499984740745262"/>
      <name val="Calibri"/>
      <family val="2"/>
      <scheme val="minor"/>
    </font>
    <font>
      <i/>
      <sz val="11"/>
      <color theme="0" tint="-0.499984740745262"/>
      <name val="Calibri"/>
      <family val="2"/>
      <scheme val="minor"/>
    </font>
    <font>
      <sz val="16"/>
      <color theme="1"/>
      <name val="Calibri"/>
      <family val="2"/>
      <scheme val="minor"/>
    </font>
    <font>
      <sz val="11"/>
      <color theme="0" tint="-0.249977111117893"/>
      <name val="Calibri"/>
      <family val="2"/>
      <scheme val="minor"/>
    </font>
    <font>
      <b/>
      <i/>
      <sz val="12"/>
      <color theme="1"/>
      <name val="Calibri"/>
      <family val="2"/>
      <scheme val="minor"/>
    </font>
    <font>
      <sz val="10"/>
      <color rgb="FFFF0000"/>
      <name val="Arial Narrow"/>
      <family val="2"/>
    </font>
    <font>
      <b/>
      <sz val="16"/>
      <color rgb="FFFF0000"/>
      <name val="Calibri"/>
      <family val="2"/>
      <scheme val="minor"/>
    </font>
    <font>
      <b/>
      <sz val="12"/>
      <color rgb="FFFF0000"/>
      <name val="Calibri"/>
      <family val="2"/>
      <scheme val="minor"/>
    </font>
    <font>
      <b/>
      <sz val="10"/>
      <color theme="1"/>
      <name val="Arial"/>
      <family val="2"/>
    </font>
    <font>
      <sz val="12"/>
      <name val="Calibri"/>
      <family val="2"/>
      <scheme val="minor"/>
    </font>
    <font>
      <sz val="12"/>
      <color theme="1"/>
      <name val="Arial Narrow"/>
      <family val="2"/>
    </font>
    <font>
      <sz val="12"/>
      <color rgb="FF0070C0"/>
      <name val="Arial Narrow"/>
      <family val="2"/>
    </font>
    <font>
      <b/>
      <sz val="11"/>
      <name val="Calibri"/>
      <family val="2"/>
      <scheme val="minor"/>
    </font>
    <font>
      <sz val="11"/>
      <color theme="1"/>
      <name val="Calibri"/>
      <scheme val="minor"/>
    </font>
  </fonts>
  <fills count="17">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CCCCFF"/>
        <bgColor indexed="64"/>
      </patternFill>
    </fill>
    <fill>
      <patternFill patternType="solid">
        <fgColor theme="0" tint="-0.249977111117893"/>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s>
  <borders count="167">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style="thin">
        <color indexed="64"/>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style="thick">
        <color indexed="64"/>
      </left>
      <right/>
      <top/>
      <bottom/>
      <diagonal/>
    </border>
    <border>
      <left/>
      <right style="thick">
        <color indexed="64"/>
      </right>
      <top/>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ck">
        <color indexed="64"/>
      </top>
      <bottom style="medium">
        <color indexed="64"/>
      </bottom>
      <diagonal/>
    </border>
    <border>
      <left style="medium">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top/>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right/>
      <top/>
      <bottom style="thin">
        <color rgb="FFABABAB"/>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thin">
        <color indexed="64"/>
      </right>
      <top/>
      <bottom/>
      <diagonal/>
    </border>
    <border>
      <left style="medium">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auto="1"/>
      </left>
      <right style="hair">
        <color auto="1"/>
      </right>
      <top style="thin">
        <color auto="1"/>
      </top>
      <bottom style="hair">
        <color auto="1"/>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medium">
        <color auto="1"/>
      </left>
      <right/>
      <top style="thin">
        <color indexed="64"/>
      </top>
      <bottom style="thin">
        <color auto="1"/>
      </bottom>
      <diagonal/>
    </border>
    <border>
      <left style="hair">
        <color indexed="64"/>
      </left>
      <right style="hair">
        <color indexed="64"/>
      </right>
      <top/>
      <bottom style="medium">
        <color auto="1"/>
      </bottom>
      <diagonal/>
    </border>
    <border>
      <left style="hair">
        <color auto="1"/>
      </left>
      <right style="medium">
        <color auto="1"/>
      </right>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thin">
        <color indexed="64"/>
      </bottom>
      <diagonal/>
    </border>
    <border>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medium">
        <color indexed="64"/>
      </right>
      <top/>
      <bottom style="thin">
        <color indexed="64"/>
      </bottom>
      <diagonal/>
    </border>
    <border>
      <left style="medium">
        <color indexed="64"/>
      </left>
      <right style="hair">
        <color indexed="64"/>
      </right>
      <top style="medium">
        <color indexed="64"/>
      </top>
      <bottom style="medium">
        <color indexed="64"/>
      </bottom>
      <diagonal/>
    </border>
    <border>
      <left style="medium">
        <color auto="1"/>
      </left>
      <right/>
      <top/>
      <bottom style="thin">
        <color auto="1"/>
      </bottom>
      <diagonal/>
    </border>
    <border>
      <left style="medium">
        <color indexed="64"/>
      </left>
      <right/>
      <top style="thin">
        <color auto="1"/>
      </top>
      <bottom style="hair">
        <color auto="1"/>
      </bottom>
      <diagonal/>
    </border>
    <border>
      <left/>
      <right style="hair">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s>
  <cellStyleXfs count="55">
    <xf numFmtId="0" fontId="0" fillId="0" borderId="0"/>
    <xf numFmtId="43" fontId="17" fillId="0" borderId="0" applyFont="0" applyFill="0" applyBorder="0" applyAlignment="0" applyProtection="0"/>
    <xf numFmtId="0" fontId="9" fillId="0" borderId="0"/>
    <xf numFmtId="9" fontId="17" fillId="0" borderId="0" applyFont="0" applyFill="0" applyBorder="0" applyAlignment="0" applyProtection="0"/>
    <xf numFmtId="165" fontId="17"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62" fillId="0" borderId="0" applyFont="0" applyFill="0" applyBorder="0" applyAlignment="0" applyProtection="0"/>
    <xf numFmtId="0" fontId="17" fillId="0" borderId="0"/>
    <xf numFmtId="0" fontId="17" fillId="0" borderId="0"/>
    <xf numFmtId="0" fontId="17" fillId="0" borderId="0"/>
    <xf numFmtId="0" fontId="9" fillId="0" borderId="0"/>
    <xf numFmtId="168" fontId="17"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957">
    <xf numFmtId="0" fontId="0" fillId="0" borderId="0" xfId="0"/>
    <xf numFmtId="0" fontId="0" fillId="2" borderId="0" xfId="0" applyFill="1"/>
    <xf numFmtId="0" fontId="0" fillId="5" borderId="15" xfId="0" applyFill="1" applyBorder="1"/>
    <xf numFmtId="0" fontId="0" fillId="5" borderId="0" xfId="0" applyFill="1" applyBorder="1"/>
    <xf numFmtId="0" fontId="0" fillId="5" borderId="16" xfId="0" applyFill="1" applyBorder="1"/>
    <xf numFmtId="0" fontId="18" fillId="5" borderId="0" xfId="0" applyFont="1" applyFill="1" applyBorder="1"/>
    <xf numFmtId="0" fontId="0" fillId="5" borderId="13" xfId="0" applyFill="1" applyBorder="1"/>
    <xf numFmtId="0" fontId="0" fillId="5" borderId="14" xfId="0" applyFill="1" applyBorder="1"/>
    <xf numFmtId="0" fontId="0" fillId="5" borderId="17" xfId="0" applyFill="1" applyBorder="1"/>
    <xf numFmtId="0" fontId="0" fillId="2" borderId="0" xfId="0" applyFill="1" applyAlignment="1">
      <alignment horizontal="center" vertical="center"/>
    </xf>
    <xf numFmtId="14" fontId="0" fillId="0" borderId="0" xfId="0" applyNumberFormat="1"/>
    <xf numFmtId="0" fontId="0" fillId="2" borderId="0" xfId="0" applyFill="1" applyAlignment="1">
      <alignment vertical="center" wrapText="1"/>
    </xf>
    <xf numFmtId="0" fontId="0" fillId="2" borderId="0" xfId="0" applyFill="1" applyBorder="1" applyAlignment="1">
      <alignment vertical="center" wrapText="1"/>
    </xf>
    <xf numFmtId="9" fontId="0" fillId="2" borderId="0" xfId="0" applyNumberFormat="1" applyFill="1" applyBorder="1" applyAlignment="1">
      <alignment vertical="center" wrapText="1"/>
    </xf>
    <xf numFmtId="0" fontId="0" fillId="2" borderId="0" xfId="0" applyFill="1" applyAlignment="1">
      <alignment horizontal="center" vertical="center" wrapText="1"/>
    </xf>
    <xf numFmtId="0" fontId="0" fillId="2" borderId="0" xfId="0" applyFill="1" applyBorder="1" applyAlignment="1">
      <alignment horizontal="center" vertical="center" wrapText="1"/>
    </xf>
    <xf numFmtId="9" fontId="0" fillId="2" borderId="0" xfId="0" applyNumberFormat="1" applyFill="1" applyBorder="1" applyAlignment="1">
      <alignment horizontal="center" vertical="center" wrapText="1"/>
    </xf>
    <xf numFmtId="0" fontId="0" fillId="2" borderId="0" xfId="0" applyNumberFormat="1" applyFill="1" applyBorder="1" applyAlignment="1">
      <alignment horizontal="center" vertical="center" wrapText="1"/>
    </xf>
    <xf numFmtId="0" fontId="19" fillId="2" borderId="0" xfId="0" applyFont="1" applyFill="1" applyBorder="1" applyAlignment="1" applyProtection="1">
      <alignment horizontal="left"/>
      <protection locked="0"/>
    </xf>
    <xf numFmtId="0" fontId="19" fillId="2" borderId="0" xfId="0" applyFont="1" applyFill="1" applyBorder="1" applyAlignment="1" applyProtection="1">
      <alignment horizontal="left"/>
    </xf>
    <xf numFmtId="17" fontId="24" fillId="5" borderId="12" xfId="0" applyNumberFormat="1"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protection locked="0"/>
    </xf>
    <xf numFmtId="164" fontId="24" fillId="2" borderId="0" xfId="1" applyNumberFormat="1" applyFont="1" applyFill="1" applyBorder="1" applyAlignment="1" applyProtection="1">
      <alignment horizontal="center" vertical="center"/>
      <protection locked="0"/>
    </xf>
    <xf numFmtId="0" fontId="19" fillId="2" borderId="0" xfId="0" applyFont="1" applyFill="1" applyBorder="1" applyAlignment="1" applyProtection="1">
      <alignment horizontal="center"/>
      <protection locked="0"/>
    </xf>
    <xf numFmtId="0" fontId="19" fillId="2" borderId="0" xfId="0" applyFont="1" applyFill="1" applyBorder="1" applyAlignment="1" applyProtection="1">
      <alignment horizontal="left" vertical="center"/>
      <protection locked="0"/>
    </xf>
    <xf numFmtId="0" fontId="0" fillId="0" borderId="0" xfId="0" applyAlignment="1">
      <alignment horizontal="left"/>
    </xf>
    <xf numFmtId="9" fontId="0" fillId="0" borderId="0" xfId="0" applyNumberFormat="1"/>
    <xf numFmtId="0" fontId="0" fillId="0" borderId="0" xfId="0" applyBorder="1"/>
    <xf numFmtId="0" fontId="0" fillId="0" borderId="0" xfId="0" pivotButton="1"/>
    <xf numFmtId="9" fontId="0" fillId="2" borderId="0" xfId="3" applyFont="1" applyFill="1" applyBorder="1" applyAlignment="1">
      <alignment vertical="center" wrapText="1"/>
    </xf>
    <xf numFmtId="0" fontId="24" fillId="5" borderId="7" xfId="0" applyFont="1" applyFill="1" applyBorder="1" applyAlignment="1" applyProtection="1">
      <alignment horizontal="center" vertical="center"/>
      <protection locked="0"/>
    </xf>
    <xf numFmtId="0" fontId="23" fillId="3" borderId="5" xfId="0" applyFont="1" applyFill="1" applyBorder="1" applyAlignment="1" applyProtection="1">
      <alignment vertical="center"/>
      <protection locked="0"/>
    </xf>
    <xf numFmtId="0" fontId="31" fillId="5" borderId="21" xfId="0" applyFont="1" applyFill="1" applyBorder="1" applyAlignment="1">
      <alignment horizontal="left" vertical="center"/>
    </xf>
    <xf numFmtId="0" fontId="31" fillId="5" borderId="22" xfId="0" applyFont="1" applyFill="1" applyBorder="1" applyAlignment="1">
      <alignment horizontal="left" vertical="center"/>
    </xf>
    <xf numFmtId="0" fontId="38" fillId="2" borderId="0" xfId="0" applyFont="1" applyFill="1" applyBorder="1" applyAlignment="1">
      <alignment horizontal="right" vertical="center" wrapText="1"/>
    </xf>
    <xf numFmtId="0" fontId="39" fillId="2" borderId="0" xfId="0" applyFont="1" applyFill="1" applyBorder="1" applyAlignment="1">
      <alignment horizontal="left" vertical="center"/>
    </xf>
    <xf numFmtId="0" fontId="40" fillId="2" borderId="0" xfId="0" applyFont="1" applyFill="1" applyBorder="1" applyAlignment="1" applyProtection="1">
      <alignment horizontal="left"/>
      <protection locked="0"/>
    </xf>
    <xf numFmtId="165" fontId="17" fillId="2" borderId="0" xfId="4" applyFill="1" applyAlignment="1">
      <alignment vertical="center"/>
    </xf>
    <xf numFmtId="165" fontId="43" fillId="11" borderId="0" xfId="4" applyFont="1" applyFill="1" applyAlignment="1">
      <alignment vertical="center"/>
    </xf>
    <xf numFmtId="165" fontId="44" fillId="11" borderId="0" xfId="4" applyFont="1" applyFill="1" applyAlignment="1">
      <alignment vertical="center"/>
    </xf>
    <xf numFmtId="165" fontId="44" fillId="2" borderId="0" xfId="4" applyFont="1" applyFill="1" applyAlignment="1">
      <alignment vertical="center"/>
    </xf>
    <xf numFmtId="3" fontId="17" fillId="2" borderId="57" xfId="4" applyNumberFormat="1" applyFill="1" applyBorder="1" applyAlignment="1">
      <alignment horizontal="center" vertical="center"/>
    </xf>
    <xf numFmtId="9" fontId="17" fillId="2" borderId="59" xfId="4" applyNumberFormat="1" applyFill="1" applyBorder="1" applyAlignment="1">
      <alignment horizontal="center" vertical="center"/>
    </xf>
    <xf numFmtId="3" fontId="46" fillId="2" borderId="57" xfId="4" applyNumberFormat="1" applyFont="1" applyFill="1" applyBorder="1" applyAlignment="1">
      <alignment horizontal="center" vertical="center"/>
    </xf>
    <xf numFmtId="3" fontId="17" fillId="2" borderId="0" xfId="4" applyNumberFormat="1" applyFill="1" applyAlignment="1">
      <alignment vertical="center"/>
    </xf>
    <xf numFmtId="165" fontId="43" fillId="2" borderId="0" xfId="4" applyFont="1" applyFill="1" applyAlignment="1">
      <alignment vertical="center"/>
    </xf>
    <xf numFmtId="0" fontId="17" fillId="2" borderId="0" xfId="4" applyNumberFormat="1" applyFill="1" applyAlignment="1">
      <alignment vertical="center"/>
    </xf>
    <xf numFmtId="165" fontId="17" fillId="2" borderId="0" xfId="4" applyFill="1" applyAlignment="1">
      <alignment horizontal="center" vertical="center"/>
    </xf>
    <xf numFmtId="0" fontId="48" fillId="2" borderId="0" xfId="5" applyFont="1" applyFill="1"/>
    <xf numFmtId="0" fontId="48" fillId="2" borderId="0" xfId="5" applyFont="1" applyFill="1" applyAlignment="1">
      <alignment wrapText="1"/>
    </xf>
    <xf numFmtId="0" fontId="48" fillId="2" borderId="0" xfId="5" applyFont="1" applyFill="1" applyAlignment="1">
      <alignment horizontal="center" vertical="center"/>
    </xf>
    <xf numFmtId="0" fontId="48" fillId="0" borderId="0" xfId="5" applyFont="1"/>
    <xf numFmtId="0" fontId="49" fillId="0" borderId="0" xfId="5" applyFont="1" applyAlignment="1">
      <alignment wrapText="1"/>
    </xf>
    <xf numFmtId="0" fontId="50" fillId="2" borderId="0" xfId="5" applyFont="1" applyFill="1" applyAlignment="1">
      <alignment vertical="center" wrapText="1"/>
    </xf>
    <xf numFmtId="0" fontId="51" fillId="0" borderId="0" xfId="5" applyFont="1"/>
    <xf numFmtId="0" fontId="48" fillId="0" borderId="0" xfId="5" applyFont="1" applyAlignment="1">
      <alignment wrapText="1"/>
    </xf>
    <xf numFmtId="0" fontId="48" fillId="0" borderId="0" xfId="5" applyFont="1" applyAlignment="1">
      <alignment horizontal="center" vertical="center"/>
    </xf>
    <xf numFmtId="0" fontId="52" fillId="0" borderId="0" xfId="5" applyFont="1" applyAlignment="1">
      <alignment horizontal="center" vertical="center" readingOrder="1"/>
    </xf>
    <xf numFmtId="3" fontId="45" fillId="2" borderId="57" xfId="4" applyNumberFormat="1" applyFont="1" applyFill="1" applyBorder="1" applyAlignment="1">
      <alignment horizontal="center" vertical="center"/>
    </xf>
    <xf numFmtId="0" fontId="21" fillId="6" borderId="47" xfId="0" applyFont="1" applyFill="1" applyBorder="1" applyAlignment="1" applyProtection="1">
      <alignment horizontal="center" vertical="center" wrapText="1"/>
    </xf>
    <xf numFmtId="0" fontId="18" fillId="0" borderId="0" xfId="0" applyFont="1"/>
    <xf numFmtId="0" fontId="53" fillId="2" borderId="0" xfId="21" applyFont="1" applyFill="1" applyProtection="1">
      <protection locked="0"/>
    </xf>
    <xf numFmtId="3" fontId="53" fillId="2" borderId="0" xfId="21" applyNumberFormat="1" applyFont="1" applyFill="1" applyProtection="1">
      <protection locked="0"/>
    </xf>
    <xf numFmtId="3" fontId="53" fillId="2" borderId="44" xfId="21" applyNumberFormat="1" applyFont="1" applyFill="1" applyBorder="1" applyProtection="1">
      <protection locked="0"/>
    </xf>
    <xf numFmtId="3" fontId="53" fillId="2" borderId="46" xfId="21" applyNumberFormat="1" applyFont="1" applyFill="1" applyBorder="1" applyProtection="1">
      <protection locked="0"/>
    </xf>
    <xf numFmtId="0" fontId="53" fillId="2" borderId="0" xfId="21" applyFont="1" applyFill="1"/>
    <xf numFmtId="0" fontId="54" fillId="5" borderId="101" xfId="21" applyFont="1" applyFill="1" applyBorder="1" applyAlignment="1" applyProtection="1">
      <alignment horizontal="right" vertical="center"/>
      <protection locked="0"/>
    </xf>
    <xf numFmtId="15" fontId="55" fillId="5" borderId="101" xfId="21" applyNumberFormat="1" applyFont="1" applyFill="1" applyBorder="1" applyAlignment="1" applyProtection="1">
      <alignment horizontal="left" vertical="center"/>
      <protection locked="0"/>
    </xf>
    <xf numFmtId="0" fontId="53" fillId="5" borderId="102" xfId="21" applyFont="1" applyFill="1" applyBorder="1" applyProtection="1">
      <protection locked="0"/>
    </xf>
    <xf numFmtId="0" fontId="53" fillId="5" borderId="103" xfId="21" applyFont="1" applyFill="1" applyBorder="1" applyProtection="1">
      <protection locked="0"/>
    </xf>
    <xf numFmtId="0" fontId="54" fillId="8" borderId="103" xfId="21" applyFont="1" applyFill="1" applyBorder="1" applyAlignment="1" applyProtection="1">
      <alignment horizontal="center" vertical="center"/>
      <protection locked="0"/>
    </xf>
    <xf numFmtId="0" fontId="57" fillId="2" borderId="0" xfId="21" applyFont="1" applyFill="1" applyAlignment="1">
      <alignment horizontal="center" vertical="center"/>
    </xf>
    <xf numFmtId="0" fontId="58" fillId="4" borderId="48" xfId="21" applyFont="1" applyFill="1" applyBorder="1" applyAlignment="1">
      <alignment horizontal="center" vertical="center" wrapText="1"/>
    </xf>
    <xf numFmtId="0" fontId="58" fillId="4" borderId="49" xfId="21" applyFont="1" applyFill="1" applyBorder="1" applyAlignment="1">
      <alignment horizontal="center" vertical="center" wrapText="1"/>
    </xf>
    <xf numFmtId="0" fontId="58" fillId="4" borderId="50" xfId="21" applyFont="1" applyFill="1" applyBorder="1" applyAlignment="1">
      <alignment horizontal="center" vertical="center" wrapText="1"/>
    </xf>
    <xf numFmtId="0" fontId="58" fillId="4" borderId="51" xfId="21" applyFont="1" applyFill="1" applyBorder="1" applyAlignment="1">
      <alignment horizontal="center" vertical="center" wrapText="1"/>
    </xf>
    <xf numFmtId="10" fontId="58" fillId="4" borderId="49" xfId="21" applyNumberFormat="1" applyFont="1" applyFill="1" applyBorder="1" applyAlignment="1">
      <alignment horizontal="center" vertical="center" wrapText="1"/>
    </xf>
    <xf numFmtId="10" fontId="58" fillId="4" borderId="52" xfId="21" applyNumberFormat="1" applyFont="1" applyFill="1" applyBorder="1" applyAlignment="1">
      <alignment horizontal="center" vertical="center" wrapText="1"/>
    </xf>
    <xf numFmtId="3" fontId="58" fillId="4" borderId="53" xfId="21" applyNumberFormat="1" applyFont="1" applyFill="1" applyBorder="1" applyAlignment="1">
      <alignment horizontal="center" vertical="center" wrapText="1"/>
    </xf>
    <xf numFmtId="0" fontId="58" fillId="4" borderId="53" xfId="21" applyFont="1" applyFill="1" applyBorder="1" applyAlignment="1">
      <alignment horizontal="center" vertical="center" wrapText="1"/>
    </xf>
    <xf numFmtId="0" fontId="58" fillId="4" borderId="52" xfId="21" applyFont="1" applyFill="1" applyBorder="1" applyAlignment="1">
      <alignment horizontal="center" vertical="center" wrapText="1"/>
    </xf>
    <xf numFmtId="0" fontId="58" fillId="4" borderId="54" xfId="21" applyFont="1" applyFill="1" applyBorder="1" applyAlignment="1">
      <alignment horizontal="center" vertical="center" wrapText="1"/>
    </xf>
    <xf numFmtId="3" fontId="58" fillId="4" borderId="48" xfId="21" applyNumberFormat="1" applyFont="1" applyFill="1" applyBorder="1" applyAlignment="1">
      <alignment horizontal="center" vertical="center" wrapText="1"/>
    </xf>
    <xf numFmtId="3" fontId="58" fillId="4" borderId="54" xfId="21" applyNumberFormat="1" applyFont="1" applyFill="1" applyBorder="1" applyAlignment="1">
      <alignment horizontal="center" vertical="center" wrapText="1"/>
    </xf>
    <xf numFmtId="3" fontId="58" fillId="4" borderId="49" xfId="21" applyNumberFormat="1" applyFont="1" applyFill="1" applyBorder="1" applyAlignment="1">
      <alignment horizontal="center" vertical="center" wrapText="1"/>
    </xf>
    <xf numFmtId="3" fontId="58" fillId="4" borderId="50" xfId="21" applyNumberFormat="1" applyFont="1" applyFill="1" applyBorder="1" applyAlignment="1">
      <alignment horizontal="center" vertical="center" wrapText="1"/>
    </xf>
    <xf numFmtId="0" fontId="58" fillId="4" borderId="55" xfId="21" applyFont="1" applyFill="1" applyBorder="1" applyAlignment="1">
      <alignment horizontal="center" vertical="center" wrapText="1"/>
    </xf>
    <xf numFmtId="0" fontId="59" fillId="6" borderId="56" xfId="21" applyFont="1" applyFill="1" applyBorder="1" applyAlignment="1" applyProtection="1">
      <alignment horizontal="left" vertical="center" wrapText="1"/>
      <protection locked="0"/>
    </xf>
    <xf numFmtId="0" fontId="53" fillId="6" borderId="57" xfId="21" applyFont="1" applyFill="1" applyBorder="1" applyAlignment="1" applyProtection="1">
      <alignment horizontal="center" vertical="center" wrapText="1"/>
      <protection locked="0"/>
    </xf>
    <xf numFmtId="0" fontId="59" fillId="6" borderId="57" xfId="21" applyFont="1" applyFill="1" applyBorder="1" applyAlignment="1" applyProtection="1">
      <alignment horizontal="center" vertical="center" wrapText="1"/>
      <protection locked="0"/>
    </xf>
    <xf numFmtId="0" fontId="53" fillId="2" borderId="58" xfId="21" applyFont="1" applyFill="1" applyBorder="1" applyAlignment="1" applyProtection="1">
      <alignment horizontal="left" vertical="center" wrapText="1"/>
      <protection locked="0"/>
    </xf>
    <xf numFmtId="14" fontId="53" fillId="2" borderId="56" xfId="21" applyNumberFormat="1" applyFont="1" applyFill="1" applyBorder="1" applyAlignment="1">
      <alignment horizontal="center" vertical="center" wrapText="1"/>
    </xf>
    <xf numFmtId="14" fontId="53" fillId="2" borderId="57" xfId="21" applyNumberFormat="1" applyFont="1" applyFill="1" applyBorder="1" applyAlignment="1">
      <alignment horizontal="center" vertical="center" wrapText="1"/>
    </xf>
    <xf numFmtId="0" fontId="53" fillId="2" borderId="59" xfId="21" applyFont="1" applyFill="1" applyBorder="1" applyAlignment="1" applyProtection="1">
      <alignment horizontal="center" vertical="center" wrapText="1"/>
      <protection locked="0"/>
    </xf>
    <xf numFmtId="0" fontId="53" fillId="2" borderId="58" xfId="21" applyFont="1" applyFill="1" applyBorder="1" applyAlignment="1" applyProtection="1">
      <alignment horizontal="center" vertical="center" wrapText="1"/>
      <protection locked="0"/>
    </xf>
    <xf numFmtId="0" fontId="53" fillId="2" borderId="56" xfId="21" applyFont="1" applyFill="1" applyBorder="1" applyAlignment="1" applyProtection="1">
      <alignment horizontal="center" vertical="center" wrapText="1"/>
      <protection locked="0"/>
    </xf>
    <xf numFmtId="9" fontId="53" fillId="2" borderId="57" xfId="22" applyNumberFormat="1" applyFont="1" applyFill="1" applyBorder="1" applyAlignment="1">
      <alignment horizontal="center" vertical="center"/>
    </xf>
    <xf numFmtId="9" fontId="53" fillId="2" borderId="60" xfId="22" applyNumberFormat="1" applyFont="1" applyFill="1" applyBorder="1" applyAlignment="1">
      <alignment horizontal="center" vertical="center"/>
    </xf>
    <xf numFmtId="9" fontId="53" fillId="2" borderId="61" xfId="21" applyNumberFormat="1" applyFont="1" applyFill="1" applyBorder="1" applyAlignment="1" applyProtection="1">
      <alignment horizontal="center" vertical="center" wrapText="1"/>
      <protection locked="0"/>
    </xf>
    <xf numFmtId="9" fontId="53" fillId="2" borderId="60" xfId="21" applyNumberFormat="1" applyFont="1" applyFill="1" applyBorder="1" applyAlignment="1" applyProtection="1">
      <alignment horizontal="center" vertical="center" wrapText="1"/>
      <protection locked="0"/>
    </xf>
    <xf numFmtId="0" fontId="53" fillId="2" borderId="61" xfId="21" applyFont="1" applyFill="1" applyBorder="1" applyAlignment="1" applyProtection="1">
      <alignment horizontal="center" vertical="center" wrapText="1"/>
      <protection locked="0"/>
    </xf>
    <xf numFmtId="0" fontId="53" fillId="2" borderId="57" xfId="21" applyFont="1" applyFill="1" applyBorder="1" applyAlignment="1" applyProtection="1">
      <alignment horizontal="center" vertical="center" wrapText="1"/>
      <protection locked="0"/>
    </xf>
    <xf numFmtId="0" fontId="53" fillId="2" borderId="60" xfId="21" applyFont="1" applyFill="1" applyBorder="1" applyAlignment="1" applyProtection="1">
      <alignment horizontal="center" vertical="center" wrapText="1"/>
      <protection locked="0"/>
    </xf>
    <xf numFmtId="0" fontId="53" fillId="2" borderId="62" xfId="21" applyFont="1" applyFill="1" applyBorder="1" applyAlignment="1" applyProtection="1">
      <alignment horizontal="center" vertical="center" wrapText="1"/>
      <protection locked="0"/>
    </xf>
    <xf numFmtId="3" fontId="53" fillId="6" borderId="56" xfId="21" applyNumberFormat="1" applyFont="1" applyFill="1" applyBorder="1" applyAlignment="1" applyProtection="1">
      <alignment horizontal="center" vertical="center" wrapText="1"/>
      <protection locked="0"/>
    </xf>
    <xf numFmtId="3" fontId="53" fillId="6" borderId="62" xfId="21" applyNumberFormat="1" applyFont="1" applyFill="1" applyBorder="1" applyAlignment="1" applyProtection="1">
      <alignment horizontal="center" vertical="center" wrapText="1"/>
      <protection locked="0"/>
    </xf>
    <xf numFmtId="9" fontId="53" fillId="2" borderId="57" xfId="21" applyNumberFormat="1" applyFont="1" applyFill="1" applyBorder="1" applyAlignment="1" applyProtection="1">
      <alignment horizontal="center" vertical="center" wrapText="1"/>
      <protection locked="0"/>
    </xf>
    <xf numFmtId="9" fontId="53" fillId="2" borderId="58" xfId="21" applyNumberFormat="1" applyFont="1" applyFill="1" applyBorder="1" applyAlignment="1" applyProtection="1">
      <alignment horizontal="center" vertical="center" wrapText="1"/>
      <protection locked="0"/>
    </xf>
    <xf numFmtId="0" fontId="53" fillId="2" borderId="63" xfId="21" applyFont="1" applyFill="1" applyBorder="1" applyAlignment="1" applyProtection="1">
      <alignment horizontal="center" vertical="center" wrapText="1"/>
      <protection locked="0"/>
    </xf>
    <xf numFmtId="166" fontId="53" fillId="2" borderId="56" xfId="21" applyNumberFormat="1" applyFont="1" applyFill="1" applyBorder="1" applyAlignment="1" applyProtection="1">
      <alignment horizontal="center" vertical="center" wrapText="1"/>
      <protection locked="0"/>
    </xf>
    <xf numFmtId="166" fontId="53" fillId="2" borderId="57" xfId="21" applyNumberFormat="1" applyFont="1" applyFill="1" applyBorder="1" applyAlignment="1" applyProtection="1">
      <alignment horizontal="center" vertical="center" wrapText="1"/>
      <protection locked="0"/>
    </xf>
    <xf numFmtId="9" fontId="53" fillId="2" borderId="61" xfId="22" applyNumberFormat="1" applyFont="1" applyFill="1" applyBorder="1" applyAlignment="1">
      <alignment horizontal="center" vertical="center"/>
    </xf>
    <xf numFmtId="3" fontId="53" fillId="6" borderId="56" xfId="22" applyNumberFormat="1" applyFont="1" applyFill="1" applyBorder="1" applyAlignment="1">
      <alignment horizontal="center" vertical="center"/>
    </xf>
    <xf numFmtId="3" fontId="53" fillId="6" borderId="62" xfId="22" applyNumberFormat="1" applyFont="1" applyFill="1" applyBorder="1" applyAlignment="1">
      <alignment horizontal="center" vertical="center"/>
    </xf>
    <xf numFmtId="9" fontId="53" fillId="2" borderId="58" xfId="22" applyNumberFormat="1" applyFont="1" applyFill="1" applyBorder="1" applyAlignment="1">
      <alignment horizontal="center" vertical="center"/>
    </xf>
    <xf numFmtId="14" fontId="53" fillId="2" borderId="56" xfId="21" applyNumberFormat="1" applyFont="1" applyFill="1" applyBorder="1" applyAlignment="1" applyProtection="1">
      <alignment horizontal="center" vertical="center" wrapText="1"/>
      <protection locked="0"/>
    </xf>
    <xf numFmtId="14" fontId="53" fillId="2" borderId="57" xfId="21" applyNumberFormat="1" applyFont="1" applyFill="1" applyBorder="1" applyAlignment="1" applyProtection="1">
      <alignment horizontal="center" vertical="center" wrapText="1"/>
      <protection locked="0"/>
    </xf>
    <xf numFmtId="3" fontId="53" fillId="2" borderId="56" xfId="21" applyNumberFormat="1" applyFont="1" applyFill="1" applyBorder="1" applyAlignment="1" applyProtection="1">
      <alignment horizontal="center" vertical="center" wrapText="1"/>
      <protection locked="0"/>
    </xf>
    <xf numFmtId="3" fontId="53" fillId="2" borderId="61" xfId="21" applyNumberFormat="1" applyFont="1" applyFill="1" applyBorder="1" applyAlignment="1" applyProtection="1">
      <alignment horizontal="center" vertical="center" wrapText="1"/>
      <protection locked="0"/>
    </xf>
    <xf numFmtId="3" fontId="53" fillId="2" borderId="57" xfId="21" applyNumberFormat="1" applyFont="1" applyFill="1" applyBorder="1" applyAlignment="1" applyProtection="1">
      <alignment horizontal="center" vertical="center" wrapText="1"/>
      <protection locked="0"/>
    </xf>
    <xf numFmtId="3" fontId="53" fillId="2" borderId="60" xfId="21" applyNumberFormat="1" applyFont="1" applyFill="1" applyBorder="1" applyAlignment="1" applyProtection="1">
      <alignment horizontal="center" vertical="center" wrapText="1"/>
      <protection locked="0"/>
    </xf>
    <xf numFmtId="3" fontId="53" fillId="2" borderId="62" xfId="21" applyNumberFormat="1" applyFont="1" applyFill="1" applyBorder="1" applyAlignment="1" applyProtection="1">
      <alignment horizontal="center" vertical="center" wrapText="1"/>
      <protection locked="0"/>
    </xf>
    <xf numFmtId="3" fontId="53" fillId="2" borderId="59" xfId="21" applyNumberFormat="1" applyFont="1" applyFill="1" applyBorder="1" applyAlignment="1" applyProtection="1">
      <alignment horizontal="center" vertical="center" wrapText="1"/>
      <protection locked="0"/>
    </xf>
    <xf numFmtId="0" fontId="60" fillId="6" borderId="57" xfId="21" applyFont="1" applyFill="1" applyBorder="1" applyAlignment="1" applyProtection="1">
      <alignment horizontal="center" vertical="center" wrapText="1"/>
      <protection locked="0"/>
    </xf>
    <xf numFmtId="0" fontId="53" fillId="2" borderId="0" xfId="21" applyFont="1" applyFill="1" applyAlignment="1">
      <alignment wrapText="1"/>
    </xf>
    <xf numFmtId="9" fontId="53" fillId="2" borderId="57" xfId="23" applyNumberFormat="1" applyFont="1" applyFill="1" applyBorder="1" applyAlignment="1" applyProtection="1">
      <alignment horizontal="center" vertical="center" wrapText="1"/>
      <protection locked="0"/>
    </xf>
    <xf numFmtId="9" fontId="53" fillId="2" borderId="60" xfId="23" applyNumberFormat="1" applyFont="1" applyFill="1" applyBorder="1" applyAlignment="1" applyProtection="1">
      <alignment horizontal="center" vertical="center" wrapText="1"/>
      <protection locked="0"/>
    </xf>
    <xf numFmtId="9" fontId="53" fillId="2" borderId="45" xfId="21" applyNumberFormat="1" applyFont="1" applyFill="1" applyBorder="1" applyAlignment="1">
      <alignment horizontal="center" vertical="center" wrapText="1"/>
    </xf>
    <xf numFmtId="9" fontId="53" fillId="2" borderId="64" xfId="21" applyNumberFormat="1" applyFont="1" applyFill="1" applyBorder="1" applyAlignment="1">
      <alignment horizontal="center" vertical="center" wrapText="1"/>
    </xf>
    <xf numFmtId="9" fontId="53" fillId="2" borderId="59" xfId="22" applyNumberFormat="1" applyFont="1" applyFill="1" applyBorder="1" applyAlignment="1">
      <alignment horizontal="center" vertical="center"/>
    </xf>
    <xf numFmtId="0" fontId="53" fillId="2" borderId="65" xfId="21" applyFont="1" applyFill="1" applyBorder="1" applyAlignment="1" applyProtection="1">
      <alignment horizontal="center" vertical="center" wrapText="1"/>
      <protection locked="0"/>
    </xf>
    <xf numFmtId="9" fontId="53" fillId="2" borderId="59" xfId="21" applyNumberFormat="1" applyFont="1" applyFill="1" applyBorder="1" applyAlignment="1" applyProtection="1">
      <alignment horizontal="center" vertical="center" wrapText="1"/>
      <protection locked="0"/>
    </xf>
    <xf numFmtId="9" fontId="53" fillId="2" borderId="66" xfId="21" applyNumberFormat="1" applyFont="1" applyFill="1" applyBorder="1" applyAlignment="1" applyProtection="1">
      <alignment horizontal="center" vertical="center" wrapText="1"/>
      <protection locked="0"/>
    </xf>
    <xf numFmtId="0" fontId="53" fillId="2" borderId="65" xfId="21" applyFont="1" applyFill="1" applyBorder="1" applyAlignment="1" applyProtection="1">
      <alignment horizontal="left" vertical="center" wrapText="1"/>
      <protection locked="0"/>
    </xf>
    <xf numFmtId="1" fontId="53" fillId="2" borderId="62" xfId="21" applyNumberFormat="1" applyFont="1" applyFill="1" applyBorder="1" applyAlignment="1" applyProtection="1">
      <alignment horizontal="center" vertical="center" wrapText="1"/>
      <protection locked="0"/>
    </xf>
    <xf numFmtId="14" fontId="60" fillId="2" borderId="67" xfId="21" applyNumberFormat="1" applyFont="1" applyFill="1" applyBorder="1" applyAlignment="1" applyProtection="1">
      <alignment horizontal="center" vertical="center" wrapText="1"/>
      <protection locked="0"/>
    </xf>
    <xf numFmtId="14" fontId="60" fillId="2" borderId="68" xfId="21" applyNumberFormat="1" applyFont="1" applyFill="1" applyBorder="1" applyAlignment="1" applyProtection="1">
      <alignment horizontal="center" vertical="center" wrapText="1"/>
      <protection locked="0"/>
    </xf>
    <xf numFmtId="0" fontId="60" fillId="2" borderId="69" xfId="21" applyFont="1" applyFill="1" applyBorder="1" applyAlignment="1" applyProtection="1">
      <alignment horizontal="center" vertical="center" wrapText="1"/>
      <protection locked="0"/>
    </xf>
    <xf numFmtId="0" fontId="60" fillId="2" borderId="70" xfId="21" applyFont="1" applyFill="1" applyBorder="1" applyAlignment="1" applyProtection="1">
      <alignment horizontal="center" vertical="center" wrapText="1"/>
      <protection locked="0"/>
    </xf>
    <xf numFmtId="14" fontId="60" fillId="2" borderId="56" xfId="21" applyNumberFormat="1" applyFont="1" applyFill="1" applyBorder="1" applyAlignment="1" applyProtection="1">
      <alignment horizontal="center" vertical="center" wrapText="1"/>
      <protection locked="0"/>
    </xf>
    <xf numFmtId="14" fontId="60" fillId="2" borderId="57" xfId="21" applyNumberFormat="1" applyFont="1" applyFill="1" applyBorder="1" applyAlignment="1" applyProtection="1">
      <alignment horizontal="center" vertical="center" wrapText="1"/>
      <protection locked="0"/>
    </xf>
    <xf numFmtId="0" fontId="60" fillId="2" borderId="59" xfId="21" applyFont="1" applyFill="1" applyBorder="1" applyAlignment="1" applyProtection="1">
      <alignment horizontal="center" vertical="center" wrapText="1"/>
      <protection locked="0"/>
    </xf>
    <xf numFmtId="0" fontId="60" fillId="2" borderId="58" xfId="21" applyFont="1" applyFill="1" applyBorder="1" applyAlignment="1" applyProtection="1">
      <alignment horizontal="center" vertical="center" wrapText="1"/>
      <protection locked="0"/>
    </xf>
    <xf numFmtId="0" fontId="59" fillId="6" borderId="67" xfId="21" applyFont="1" applyFill="1" applyBorder="1" applyAlignment="1" applyProtection="1">
      <alignment horizontal="left" vertical="center" wrapText="1"/>
      <protection locked="0"/>
    </xf>
    <xf numFmtId="0" fontId="53" fillId="6" borderId="68" xfId="21" applyFont="1" applyFill="1" applyBorder="1" applyAlignment="1" applyProtection="1">
      <alignment horizontal="center" vertical="center" wrapText="1"/>
      <protection locked="0"/>
    </xf>
    <xf numFmtId="0" fontId="59" fillId="6" borderId="68" xfId="21" applyFont="1" applyFill="1" applyBorder="1" applyAlignment="1" applyProtection="1">
      <alignment horizontal="center" vertical="center" wrapText="1"/>
      <protection locked="0"/>
    </xf>
    <xf numFmtId="0" fontId="53" fillId="2" borderId="70" xfId="21" applyFont="1" applyFill="1" applyBorder="1" applyAlignment="1" applyProtection="1">
      <alignment horizontal="left" vertical="center" wrapText="1"/>
      <protection locked="0"/>
    </xf>
    <xf numFmtId="14" fontId="53" fillId="2" borderId="67" xfId="21" applyNumberFormat="1" applyFont="1" applyFill="1" applyBorder="1" applyAlignment="1" applyProtection="1">
      <alignment horizontal="center" vertical="center" wrapText="1"/>
      <protection locked="0"/>
    </xf>
    <xf numFmtId="14" fontId="53" fillId="2" borderId="68" xfId="21" applyNumberFormat="1" applyFont="1" applyFill="1" applyBorder="1" applyAlignment="1" applyProtection="1">
      <alignment horizontal="center" vertical="center" wrapText="1"/>
      <protection locked="0"/>
    </xf>
    <xf numFmtId="0" fontId="53" fillId="2" borderId="69" xfId="21" applyFont="1" applyFill="1" applyBorder="1" applyAlignment="1" applyProtection="1">
      <alignment horizontal="center" vertical="center" wrapText="1"/>
      <protection locked="0"/>
    </xf>
    <xf numFmtId="3" fontId="53" fillId="2" borderId="67" xfId="21" applyNumberFormat="1" applyFont="1" applyFill="1" applyBorder="1" applyAlignment="1" applyProtection="1">
      <alignment horizontal="center" vertical="center" wrapText="1"/>
      <protection locked="0"/>
    </xf>
    <xf numFmtId="9" fontId="53" fillId="2" borderId="68" xfId="21" applyNumberFormat="1" applyFont="1" applyFill="1" applyBorder="1" applyAlignment="1" applyProtection="1">
      <alignment horizontal="center" vertical="center" wrapText="1"/>
      <protection locked="0"/>
    </xf>
    <xf numFmtId="9" fontId="53" fillId="2" borderId="85" xfId="21" applyNumberFormat="1" applyFont="1" applyFill="1" applyBorder="1" applyAlignment="1" applyProtection="1">
      <alignment horizontal="center" vertical="center" wrapText="1"/>
      <protection locked="0"/>
    </xf>
    <xf numFmtId="9" fontId="53" fillId="2" borderId="86" xfId="21" applyNumberFormat="1" applyFont="1" applyFill="1" applyBorder="1" applyAlignment="1" applyProtection="1">
      <alignment horizontal="center" vertical="center" wrapText="1"/>
      <protection locked="0"/>
    </xf>
    <xf numFmtId="3" fontId="53" fillId="2" borderId="86" xfId="21" applyNumberFormat="1" applyFont="1" applyFill="1" applyBorder="1" applyAlignment="1" applyProtection="1">
      <alignment horizontal="center" vertical="center" wrapText="1"/>
      <protection locked="0"/>
    </xf>
    <xf numFmtId="3" fontId="53" fillId="2" borderId="68" xfId="21" applyNumberFormat="1" applyFont="1" applyFill="1" applyBorder="1" applyAlignment="1" applyProtection="1">
      <alignment horizontal="center" vertical="center" wrapText="1"/>
      <protection locked="0"/>
    </xf>
    <xf numFmtId="3" fontId="53" fillId="2" borderId="85" xfId="21" applyNumberFormat="1" applyFont="1" applyFill="1" applyBorder="1" applyAlignment="1" applyProtection="1">
      <alignment horizontal="center" vertical="center" wrapText="1"/>
      <protection locked="0"/>
    </xf>
    <xf numFmtId="3" fontId="53" fillId="2" borderId="87" xfId="21" applyNumberFormat="1" applyFont="1" applyFill="1" applyBorder="1" applyAlignment="1" applyProtection="1">
      <alignment horizontal="center" vertical="center" wrapText="1"/>
      <protection locked="0"/>
    </xf>
    <xf numFmtId="3" fontId="53" fillId="2" borderId="69" xfId="21" applyNumberFormat="1" applyFont="1" applyFill="1" applyBorder="1" applyAlignment="1" applyProtection="1">
      <alignment horizontal="center" vertical="center" wrapText="1"/>
      <protection locked="0"/>
    </xf>
    <xf numFmtId="3" fontId="53" fillId="6" borderId="67" xfId="21" applyNumberFormat="1" applyFont="1" applyFill="1" applyBorder="1" applyAlignment="1" applyProtection="1">
      <alignment horizontal="center" vertical="center" wrapText="1"/>
      <protection locked="0"/>
    </xf>
    <xf numFmtId="3" fontId="53" fillId="6" borderId="87" xfId="21" applyNumberFormat="1" applyFont="1" applyFill="1" applyBorder="1" applyAlignment="1" applyProtection="1">
      <alignment horizontal="center" vertical="center" wrapText="1"/>
      <protection locked="0"/>
    </xf>
    <xf numFmtId="9" fontId="53" fillId="2" borderId="69" xfId="21" applyNumberFormat="1" applyFont="1" applyFill="1" applyBorder="1" applyAlignment="1" applyProtection="1">
      <alignment horizontal="center" vertical="center" wrapText="1"/>
      <protection locked="0"/>
    </xf>
    <xf numFmtId="0" fontId="53" fillId="2" borderId="88" xfId="21" applyFont="1" applyFill="1" applyBorder="1" applyAlignment="1" applyProtection="1">
      <alignment horizontal="center" vertical="center" wrapText="1"/>
      <protection locked="0"/>
    </xf>
    <xf numFmtId="0" fontId="59" fillId="9" borderId="48" xfId="21" applyFont="1" applyFill="1" applyBorder="1" applyAlignment="1" applyProtection="1">
      <alignment horizontal="left" vertical="center" wrapText="1"/>
      <protection locked="0"/>
    </xf>
    <xf numFmtId="0" fontId="53" fillId="9" borderId="49" xfId="21" applyFont="1" applyFill="1" applyBorder="1" applyAlignment="1" applyProtection="1">
      <alignment horizontal="center" vertical="center" wrapText="1"/>
      <protection locked="0"/>
    </xf>
    <xf numFmtId="0" fontId="59" fillId="9" borderId="49" xfId="21" applyFont="1" applyFill="1" applyBorder="1" applyAlignment="1" applyProtection="1">
      <alignment horizontal="center" vertical="center" wrapText="1"/>
      <protection locked="0"/>
    </xf>
    <xf numFmtId="14" fontId="53" fillId="9" borderId="48" xfId="21" applyNumberFormat="1" applyFont="1" applyFill="1" applyBorder="1" applyAlignment="1" applyProtection="1">
      <alignment horizontal="center" vertical="center" wrapText="1"/>
      <protection locked="0"/>
    </xf>
    <xf numFmtId="14" fontId="53" fillId="9" borderId="49" xfId="21" applyNumberFormat="1" applyFont="1" applyFill="1" applyBorder="1" applyAlignment="1" applyProtection="1">
      <alignment horizontal="center" vertical="center" wrapText="1"/>
      <protection locked="0"/>
    </xf>
    <xf numFmtId="0" fontId="53" fillId="9" borderId="51" xfId="21" applyFont="1" applyFill="1" applyBorder="1" applyAlignment="1" applyProtection="1">
      <alignment horizontal="center" vertical="center" wrapText="1"/>
      <protection locked="0"/>
    </xf>
    <xf numFmtId="0" fontId="53" fillId="9" borderId="50" xfId="21" applyFont="1" applyFill="1" applyBorder="1" applyAlignment="1" applyProtection="1">
      <alignment horizontal="center" vertical="center" wrapText="1"/>
      <protection locked="0"/>
    </xf>
    <xf numFmtId="9" fontId="53" fillId="9" borderId="49" xfId="21" applyNumberFormat="1" applyFont="1" applyFill="1" applyBorder="1" applyAlignment="1" applyProtection="1">
      <alignment horizontal="center" vertical="center" wrapText="1"/>
      <protection locked="0"/>
    </xf>
    <xf numFmtId="9" fontId="53" fillId="9" borderId="52" xfId="21" applyNumberFormat="1" applyFont="1" applyFill="1" applyBorder="1" applyAlignment="1" applyProtection="1">
      <alignment horizontal="center" vertical="center" wrapText="1"/>
      <protection locked="0"/>
    </xf>
    <xf numFmtId="9" fontId="53" fillId="9" borderId="53" xfId="21" applyNumberFormat="1" applyFont="1" applyFill="1" applyBorder="1" applyAlignment="1" applyProtection="1">
      <alignment horizontal="center" vertical="center" wrapText="1"/>
      <protection locked="0"/>
    </xf>
    <xf numFmtId="3" fontId="53" fillId="6" borderId="48" xfId="21" applyNumberFormat="1" applyFont="1" applyFill="1" applyBorder="1" applyAlignment="1" applyProtection="1">
      <alignment horizontal="center" vertical="center" wrapText="1"/>
      <protection locked="0"/>
    </xf>
    <xf numFmtId="3" fontId="53" fillId="6" borderId="54" xfId="21" applyNumberFormat="1" applyFont="1" applyFill="1" applyBorder="1" applyAlignment="1" applyProtection="1">
      <alignment horizontal="center" vertical="center" wrapText="1"/>
      <protection locked="0"/>
    </xf>
    <xf numFmtId="9" fontId="53" fillId="9" borderId="51" xfId="21" applyNumberFormat="1" applyFont="1" applyFill="1" applyBorder="1" applyAlignment="1" applyProtection="1">
      <alignment horizontal="center" vertical="center" wrapText="1"/>
      <protection locked="0"/>
    </xf>
    <xf numFmtId="0" fontId="53" fillId="9" borderId="89" xfId="21" applyFont="1" applyFill="1" applyBorder="1" applyAlignment="1" applyProtection="1">
      <alignment horizontal="center" vertical="center" wrapText="1"/>
      <protection locked="0"/>
    </xf>
    <xf numFmtId="0" fontId="59" fillId="9" borderId="56" xfId="21" applyFont="1" applyFill="1" applyBorder="1" applyAlignment="1" applyProtection="1">
      <alignment horizontal="left" vertical="center" wrapText="1"/>
      <protection locked="0"/>
    </xf>
    <xf numFmtId="0" fontId="53" fillId="9" borderId="57" xfId="21" applyFont="1" applyFill="1" applyBorder="1" applyAlignment="1" applyProtection="1">
      <alignment horizontal="center" vertical="center" wrapText="1"/>
      <protection locked="0"/>
    </xf>
    <xf numFmtId="0" fontId="59" fillId="9" borderId="57" xfId="21" applyFont="1" applyFill="1" applyBorder="1" applyAlignment="1" applyProtection="1">
      <alignment horizontal="center" vertical="center" wrapText="1"/>
      <protection locked="0"/>
    </xf>
    <xf numFmtId="14" fontId="53" fillId="9" borderId="56" xfId="21" applyNumberFormat="1" applyFont="1" applyFill="1" applyBorder="1" applyAlignment="1" applyProtection="1">
      <alignment horizontal="center" vertical="center" wrapText="1"/>
      <protection locked="0"/>
    </xf>
    <xf numFmtId="14" fontId="53" fillId="9" borderId="57" xfId="21" applyNumberFormat="1" applyFont="1" applyFill="1" applyBorder="1" applyAlignment="1" applyProtection="1">
      <alignment horizontal="center" vertical="center" wrapText="1"/>
      <protection locked="0"/>
    </xf>
    <xf numFmtId="0" fontId="53" fillId="9" borderId="59" xfId="21" applyFont="1" applyFill="1" applyBorder="1" applyAlignment="1" applyProtection="1">
      <alignment horizontal="center" vertical="center" wrapText="1"/>
      <protection locked="0"/>
    </xf>
    <xf numFmtId="0" fontId="53" fillId="9" borderId="58" xfId="21" applyFont="1" applyFill="1" applyBorder="1" applyAlignment="1" applyProtection="1">
      <alignment horizontal="center" vertical="center" wrapText="1"/>
      <protection locked="0"/>
    </xf>
    <xf numFmtId="3" fontId="53" fillId="9" borderId="56" xfId="21" applyNumberFormat="1" applyFont="1" applyFill="1" applyBorder="1" applyAlignment="1" applyProtection="1">
      <alignment horizontal="center" vertical="center" wrapText="1"/>
      <protection locked="0"/>
    </xf>
    <xf numFmtId="9" fontId="53" fillId="9" borderId="57" xfId="21" applyNumberFormat="1" applyFont="1" applyFill="1" applyBorder="1" applyAlignment="1" applyProtection="1">
      <alignment horizontal="center" vertical="center" wrapText="1"/>
      <protection locked="0"/>
    </xf>
    <xf numFmtId="9" fontId="53" fillId="9" borderId="60" xfId="21" applyNumberFormat="1" applyFont="1" applyFill="1" applyBorder="1" applyAlignment="1" applyProtection="1">
      <alignment horizontal="center" vertical="center" wrapText="1"/>
      <protection locked="0"/>
    </xf>
    <xf numFmtId="9" fontId="53" fillId="9" borderId="61" xfId="21" applyNumberFormat="1" applyFont="1" applyFill="1" applyBorder="1" applyAlignment="1" applyProtection="1">
      <alignment horizontal="center" vertical="center" wrapText="1"/>
      <protection locked="0"/>
    </xf>
    <xf numFmtId="3" fontId="53" fillId="9" borderId="61" xfId="21" applyNumberFormat="1" applyFont="1" applyFill="1" applyBorder="1" applyAlignment="1" applyProtection="1">
      <alignment horizontal="center" vertical="center" wrapText="1"/>
      <protection locked="0"/>
    </xf>
    <xf numFmtId="9" fontId="53" fillId="9" borderId="59" xfId="21" applyNumberFormat="1" applyFont="1" applyFill="1" applyBorder="1" applyAlignment="1" applyProtection="1">
      <alignment horizontal="center" vertical="center" wrapText="1"/>
      <protection locked="0"/>
    </xf>
    <xf numFmtId="0" fontId="53" fillId="9" borderId="65" xfId="21" applyFont="1" applyFill="1" applyBorder="1" applyAlignment="1" applyProtection="1">
      <alignment horizontal="center" vertical="center" wrapText="1"/>
      <protection locked="0"/>
    </xf>
    <xf numFmtId="0" fontId="53" fillId="9" borderId="56" xfId="21" applyFont="1" applyFill="1" applyBorder="1" applyAlignment="1" applyProtection="1">
      <alignment horizontal="center" vertical="center" wrapText="1"/>
      <protection locked="0"/>
    </xf>
    <xf numFmtId="0" fontId="59" fillId="9" borderId="90" xfId="21" applyFont="1" applyFill="1" applyBorder="1" applyAlignment="1" applyProtection="1">
      <alignment horizontal="left" vertical="center" wrapText="1"/>
      <protection locked="0"/>
    </xf>
    <xf numFmtId="0" fontId="53" fillId="9" borderId="91" xfId="21" applyFont="1" applyFill="1" applyBorder="1" applyAlignment="1" applyProtection="1">
      <alignment horizontal="center" vertical="center" wrapText="1"/>
      <protection locked="0"/>
    </xf>
    <xf numFmtId="0" fontId="59" fillId="9" borderId="91" xfId="21" applyFont="1" applyFill="1" applyBorder="1" applyAlignment="1" applyProtection="1">
      <alignment horizontal="center" vertical="center" wrapText="1"/>
      <protection locked="0"/>
    </xf>
    <xf numFmtId="0" fontId="53" fillId="9" borderId="93" xfId="21" applyFont="1" applyFill="1" applyBorder="1" applyAlignment="1" applyProtection="1">
      <alignment horizontal="center" vertical="center" wrapText="1"/>
      <protection locked="0"/>
    </xf>
    <xf numFmtId="0" fontId="53" fillId="9" borderId="92" xfId="21" applyFont="1" applyFill="1" applyBorder="1" applyAlignment="1" applyProtection="1">
      <alignment horizontal="center" vertical="center" wrapText="1"/>
      <protection locked="0"/>
    </xf>
    <xf numFmtId="0" fontId="53" fillId="9" borderId="90" xfId="21" applyFont="1" applyFill="1" applyBorder="1" applyAlignment="1" applyProtection="1">
      <alignment horizontal="center" vertical="center" wrapText="1"/>
      <protection locked="0"/>
    </xf>
    <xf numFmtId="9" fontId="53" fillId="9" borderId="91" xfId="21" applyNumberFormat="1" applyFont="1" applyFill="1" applyBorder="1" applyAlignment="1" applyProtection="1">
      <alignment horizontal="center" vertical="center" wrapText="1"/>
      <protection locked="0"/>
    </xf>
    <xf numFmtId="9" fontId="53" fillId="9" borderId="94" xfId="21" applyNumberFormat="1" applyFont="1" applyFill="1" applyBorder="1" applyAlignment="1" applyProtection="1">
      <alignment horizontal="center" vertical="center" wrapText="1"/>
      <protection locked="0"/>
    </xf>
    <xf numFmtId="9" fontId="53" fillId="9" borderId="95" xfId="21" applyNumberFormat="1" applyFont="1" applyFill="1" applyBorder="1" applyAlignment="1" applyProtection="1">
      <alignment horizontal="center" vertical="center" wrapText="1"/>
      <protection locked="0"/>
    </xf>
    <xf numFmtId="3" fontId="53" fillId="6" borderId="90" xfId="21" applyNumberFormat="1" applyFont="1" applyFill="1" applyBorder="1" applyAlignment="1" applyProtection="1">
      <alignment horizontal="center" vertical="center" wrapText="1"/>
      <protection locked="0"/>
    </xf>
    <xf numFmtId="3" fontId="53" fillId="6" borderId="96" xfId="21" applyNumberFormat="1" applyFont="1" applyFill="1" applyBorder="1" applyAlignment="1" applyProtection="1">
      <alignment horizontal="center" vertical="center" wrapText="1"/>
      <protection locked="0"/>
    </xf>
    <xf numFmtId="9" fontId="53" fillId="9" borderId="93" xfId="21" applyNumberFormat="1" applyFont="1" applyFill="1" applyBorder="1" applyAlignment="1" applyProtection="1">
      <alignment horizontal="center" vertical="center" wrapText="1"/>
      <protection locked="0"/>
    </xf>
    <xf numFmtId="0" fontId="53" fillId="9" borderId="97" xfId="21" applyFont="1" applyFill="1" applyBorder="1" applyAlignment="1" applyProtection="1">
      <alignment horizontal="center" vertical="center" wrapText="1"/>
      <protection locked="0"/>
    </xf>
    <xf numFmtId="0" fontId="53" fillId="9" borderId="60" xfId="21" applyFont="1" applyFill="1" applyBorder="1" applyAlignment="1" applyProtection="1">
      <alignment horizontal="center" vertical="center" wrapText="1"/>
      <protection locked="0"/>
    </xf>
    <xf numFmtId="3" fontId="53" fillId="6" borderId="57" xfId="21" applyNumberFormat="1" applyFont="1" applyFill="1" applyBorder="1" applyAlignment="1" applyProtection="1">
      <alignment horizontal="center" vertical="center" wrapText="1"/>
      <protection locked="0"/>
    </xf>
    <xf numFmtId="0" fontId="59" fillId="9" borderId="71" xfId="21" applyFont="1" applyFill="1" applyBorder="1" applyAlignment="1" applyProtection="1">
      <alignment horizontal="left" vertical="center" wrapText="1"/>
      <protection locked="0"/>
    </xf>
    <xf numFmtId="0" fontId="53" fillId="9" borderId="45" xfId="21" applyFont="1" applyFill="1" applyBorder="1" applyAlignment="1" applyProtection="1">
      <alignment horizontal="center" vertical="center" wrapText="1"/>
      <protection locked="0"/>
    </xf>
    <xf numFmtId="0" fontId="59" fillId="9" borderId="45" xfId="21" applyFont="1" applyFill="1" applyBorder="1" applyAlignment="1" applyProtection="1">
      <alignment horizontal="center" vertical="center" wrapText="1"/>
      <protection locked="0"/>
    </xf>
    <xf numFmtId="14" fontId="53" fillId="9" borderId="71" xfId="21" applyNumberFormat="1" applyFont="1" applyFill="1" applyBorder="1" applyAlignment="1" applyProtection="1">
      <alignment horizontal="center" vertical="center" wrapText="1"/>
      <protection locked="0"/>
    </xf>
    <xf numFmtId="14" fontId="53" fillId="9" borderId="45" xfId="21" applyNumberFormat="1" applyFont="1" applyFill="1" applyBorder="1" applyAlignment="1" applyProtection="1">
      <alignment horizontal="center" vertical="center" wrapText="1"/>
      <protection locked="0"/>
    </xf>
    <xf numFmtId="0" fontId="53" fillId="9" borderId="46" xfId="21" applyFont="1" applyFill="1" applyBorder="1" applyAlignment="1" applyProtection="1">
      <alignment horizontal="center" vertical="center" wrapText="1"/>
      <protection locked="0"/>
    </xf>
    <xf numFmtId="0" fontId="53" fillId="9" borderId="72" xfId="21" applyFont="1" applyFill="1" applyBorder="1" applyAlignment="1" applyProtection="1">
      <alignment horizontal="center" vertical="center" wrapText="1"/>
      <protection locked="0"/>
    </xf>
    <xf numFmtId="3" fontId="53" fillId="9" borderId="71" xfId="21" applyNumberFormat="1" applyFont="1" applyFill="1" applyBorder="1" applyAlignment="1" applyProtection="1">
      <alignment horizontal="center" vertical="center" wrapText="1"/>
      <protection locked="0"/>
    </xf>
    <xf numFmtId="9" fontId="53" fillId="9" borderId="45" xfId="21" applyNumberFormat="1" applyFont="1" applyFill="1" applyBorder="1" applyAlignment="1" applyProtection="1">
      <alignment horizontal="center" vertical="center" wrapText="1"/>
      <protection locked="0"/>
    </xf>
    <xf numFmtId="9" fontId="53" fillId="9" borderId="64" xfId="21" applyNumberFormat="1" applyFont="1" applyFill="1" applyBorder="1" applyAlignment="1" applyProtection="1">
      <alignment horizontal="center" vertical="center" wrapText="1"/>
      <protection locked="0"/>
    </xf>
    <xf numFmtId="9" fontId="53" fillId="9" borderId="73" xfId="21" applyNumberFormat="1" applyFont="1" applyFill="1" applyBorder="1" applyAlignment="1" applyProtection="1">
      <alignment horizontal="center" vertical="center" wrapText="1"/>
      <protection locked="0"/>
    </xf>
    <xf numFmtId="9" fontId="53" fillId="9" borderId="46" xfId="21" applyNumberFormat="1" applyFont="1" applyFill="1" applyBorder="1" applyAlignment="1" applyProtection="1">
      <alignment horizontal="center" vertical="center" wrapText="1"/>
      <protection locked="0"/>
    </xf>
    <xf numFmtId="0" fontId="53" fillId="9" borderId="74" xfId="21" applyFont="1" applyFill="1" applyBorder="1" applyAlignment="1" applyProtection="1">
      <alignment horizontal="center" vertical="center" wrapText="1"/>
      <protection locked="0"/>
    </xf>
    <xf numFmtId="0" fontId="59" fillId="9" borderId="75" xfId="21" applyFont="1" applyFill="1" applyBorder="1" applyAlignment="1" applyProtection="1">
      <alignment horizontal="left" vertical="center" wrapText="1"/>
      <protection locked="0"/>
    </xf>
    <xf numFmtId="0" fontId="53" fillId="9" borderId="76" xfId="21" applyFont="1" applyFill="1" applyBorder="1" applyAlignment="1" applyProtection="1">
      <alignment horizontal="center" vertical="center" wrapText="1"/>
      <protection locked="0"/>
    </xf>
    <xf numFmtId="0" fontId="59" fillId="9" borderId="76" xfId="21" applyFont="1" applyFill="1" applyBorder="1" applyAlignment="1" applyProtection="1">
      <alignment horizontal="center" vertical="center" wrapText="1"/>
      <protection locked="0"/>
    </xf>
    <xf numFmtId="14" fontId="53" fillId="9" borderId="75" xfId="21" applyNumberFormat="1" applyFont="1" applyFill="1" applyBorder="1" applyAlignment="1" applyProtection="1">
      <alignment horizontal="center" vertical="center" wrapText="1"/>
      <protection locked="0"/>
    </xf>
    <xf numFmtId="14" fontId="53" fillId="9" borderId="76" xfId="21" applyNumberFormat="1" applyFont="1" applyFill="1" applyBorder="1" applyAlignment="1" applyProtection="1">
      <alignment horizontal="center" vertical="center" wrapText="1"/>
      <protection locked="0"/>
    </xf>
    <xf numFmtId="0" fontId="53" fillId="9" borderId="78" xfId="21" applyFont="1" applyFill="1" applyBorder="1" applyAlignment="1" applyProtection="1">
      <alignment horizontal="center" vertical="center" wrapText="1"/>
      <protection locked="0"/>
    </xf>
    <xf numFmtId="0" fontId="53" fillId="9" borderId="77" xfId="21" applyFont="1" applyFill="1" applyBorder="1" applyAlignment="1" applyProtection="1">
      <alignment horizontal="center" vertical="center" wrapText="1"/>
      <protection locked="0"/>
    </xf>
    <xf numFmtId="3" fontId="53" fillId="9" borderId="75" xfId="21" applyNumberFormat="1" applyFont="1" applyFill="1" applyBorder="1" applyAlignment="1" applyProtection="1">
      <alignment horizontal="center" vertical="center" wrapText="1"/>
      <protection locked="0"/>
    </xf>
    <xf numFmtId="9" fontId="53" fillId="9" borderId="76" xfId="21" applyNumberFormat="1" applyFont="1" applyFill="1" applyBorder="1" applyAlignment="1" applyProtection="1">
      <alignment horizontal="center" vertical="center" wrapText="1"/>
      <protection locked="0"/>
    </xf>
    <xf numFmtId="9" fontId="53" fillId="9" borderId="79" xfId="21" applyNumberFormat="1" applyFont="1" applyFill="1" applyBorder="1" applyAlignment="1" applyProtection="1">
      <alignment horizontal="center" vertical="center" wrapText="1"/>
      <protection locked="0"/>
    </xf>
    <xf numFmtId="9" fontId="53" fillId="9" borderId="80" xfId="21" applyNumberFormat="1" applyFont="1" applyFill="1" applyBorder="1" applyAlignment="1" applyProtection="1">
      <alignment horizontal="center" vertical="center" wrapText="1"/>
      <protection locked="0"/>
    </xf>
    <xf numFmtId="9" fontId="53" fillId="9" borderId="78" xfId="21" applyNumberFormat="1" applyFont="1" applyFill="1" applyBorder="1" applyAlignment="1" applyProtection="1">
      <alignment horizontal="center" vertical="center" wrapText="1"/>
      <protection locked="0"/>
    </xf>
    <xf numFmtId="0" fontId="53" fillId="9" borderId="82" xfId="21" applyFont="1" applyFill="1" applyBorder="1" applyAlignment="1" applyProtection="1">
      <alignment horizontal="center" vertical="center" wrapText="1"/>
      <protection locked="0"/>
    </xf>
    <xf numFmtId="0" fontId="53" fillId="2" borderId="0" xfId="21" applyFont="1" applyFill="1" applyBorder="1" applyAlignment="1" applyProtection="1">
      <alignment horizontal="center" vertical="center" wrapText="1"/>
      <protection locked="0"/>
    </xf>
    <xf numFmtId="3" fontId="53" fillId="2" borderId="0" xfId="21" applyNumberFormat="1" applyFont="1" applyFill="1" applyBorder="1" applyAlignment="1" applyProtection="1">
      <alignment horizontal="center" vertical="center" wrapText="1"/>
      <protection locked="0"/>
    </xf>
    <xf numFmtId="3" fontId="53" fillId="2" borderId="44" xfId="21" applyNumberFormat="1" applyFont="1" applyFill="1" applyBorder="1" applyAlignment="1" applyProtection="1">
      <alignment horizontal="center" vertical="center" wrapText="1"/>
      <protection locked="0"/>
    </xf>
    <xf numFmtId="3" fontId="53" fillId="2" borderId="46" xfId="21" applyNumberFormat="1" applyFont="1" applyFill="1" applyBorder="1" applyAlignment="1" applyProtection="1">
      <alignment horizontal="center" vertical="center" wrapText="1"/>
      <protection locked="0"/>
    </xf>
    <xf numFmtId="0" fontId="53" fillId="2" borderId="0" xfId="21" applyFont="1" applyFill="1" applyBorder="1"/>
    <xf numFmtId="9" fontId="53" fillId="2" borderId="0" xfId="23" applyFont="1" applyFill="1" applyBorder="1" applyAlignment="1" applyProtection="1">
      <alignment horizontal="center" vertical="center" wrapText="1"/>
      <protection locked="0"/>
    </xf>
    <xf numFmtId="0" fontId="53" fillId="2" borderId="0" xfId="21" applyFont="1" applyFill="1" applyBorder="1" applyAlignment="1" applyProtection="1">
      <alignment horizontal="left" vertical="center"/>
      <protection locked="0"/>
    </xf>
    <xf numFmtId="0" fontId="61" fillId="2" borderId="0" xfId="21" applyFont="1" applyFill="1" applyBorder="1" applyAlignment="1" applyProtection="1">
      <alignment horizontal="center" vertical="center" wrapText="1"/>
      <protection locked="0"/>
    </xf>
    <xf numFmtId="3" fontId="61" fillId="2" borderId="0" xfId="21" applyNumberFormat="1" applyFont="1" applyFill="1" applyBorder="1" applyAlignment="1" applyProtection="1">
      <alignment horizontal="center" vertical="center" wrapText="1"/>
      <protection locked="0"/>
    </xf>
    <xf numFmtId="3" fontId="61" fillId="2" borderId="44" xfId="21" applyNumberFormat="1" applyFont="1" applyFill="1" applyBorder="1" applyAlignment="1" applyProtection="1">
      <alignment horizontal="center" vertical="center" wrapText="1"/>
      <protection locked="0"/>
    </xf>
    <xf numFmtId="3" fontId="61" fillId="2" borderId="46" xfId="21" applyNumberFormat="1" applyFont="1" applyFill="1" applyBorder="1" applyAlignment="1" applyProtection="1">
      <alignment horizontal="center" vertical="center" wrapText="1"/>
      <protection locked="0"/>
    </xf>
    <xf numFmtId="0" fontId="53" fillId="2" borderId="0" xfId="21" applyFont="1" applyFill="1" applyBorder="1" applyProtection="1">
      <protection locked="0"/>
    </xf>
    <xf numFmtId="3" fontId="53" fillId="2" borderId="0" xfId="21" applyNumberFormat="1" applyFont="1" applyFill="1" applyBorder="1" applyProtection="1">
      <protection locked="0"/>
    </xf>
    <xf numFmtId="3" fontId="58" fillId="4" borderId="51" xfId="21" applyNumberFormat="1" applyFont="1" applyFill="1" applyBorder="1" applyAlignment="1">
      <alignment horizontal="center" vertical="center" wrapText="1"/>
    </xf>
    <xf numFmtId="0" fontId="6" fillId="2" borderId="0" xfId="20" applyFill="1"/>
    <xf numFmtId="0" fontId="0" fillId="0" borderId="35" xfId="0" applyBorder="1"/>
    <xf numFmtId="0" fontId="0" fillId="0" borderId="36" xfId="0" applyBorder="1" applyAlignment="1">
      <alignment horizontal="center" vertical="center"/>
    </xf>
    <xf numFmtId="0" fontId="6" fillId="0" borderId="0" xfId="20"/>
    <xf numFmtId="0" fontId="0" fillId="0" borderId="36" xfId="0" applyBorder="1"/>
    <xf numFmtId="0" fontId="0" fillId="0" borderId="30" xfId="0" applyBorder="1"/>
    <xf numFmtId="3" fontId="0" fillId="0" borderId="36" xfId="0" applyNumberFormat="1" applyBorder="1" applyAlignment="1">
      <alignment horizontal="right" vertical="center"/>
    </xf>
    <xf numFmtId="0" fontId="0" fillId="0" borderId="34" xfId="0" applyBorder="1"/>
    <xf numFmtId="3" fontId="0" fillId="0" borderId="37" xfId="0" applyNumberFormat="1" applyBorder="1" applyAlignment="1">
      <alignment horizontal="right" vertical="center"/>
    </xf>
    <xf numFmtId="0" fontId="0" fillId="0" borderId="38" xfId="0" applyBorder="1" applyAlignment="1">
      <alignment wrapText="1"/>
    </xf>
    <xf numFmtId="3" fontId="0" fillId="0" borderId="35" xfId="0" applyNumberFormat="1" applyBorder="1" applyAlignment="1">
      <alignment horizontal="right" vertical="center"/>
    </xf>
    <xf numFmtId="0" fontId="0" fillId="0" borderId="35" xfId="0" pivotButton="1" applyBorder="1"/>
    <xf numFmtId="0" fontId="0" fillId="0" borderId="30" xfId="0" pivotButton="1" applyBorder="1" applyAlignment="1">
      <alignment wrapText="1"/>
    </xf>
    <xf numFmtId="0" fontId="0" fillId="0" borderId="0" xfId="0" applyBorder="1" applyAlignment="1">
      <alignment wrapText="1"/>
    </xf>
    <xf numFmtId="3" fontId="0" fillId="0" borderId="0" xfId="0" applyNumberFormat="1" applyBorder="1" applyAlignment="1">
      <alignment horizontal="right" vertical="center"/>
    </xf>
    <xf numFmtId="9" fontId="66" fillId="2" borderId="91" xfId="4" applyNumberFormat="1" applyFont="1" applyFill="1" applyBorder="1" applyAlignment="1">
      <alignment horizontal="center" vertical="center"/>
    </xf>
    <xf numFmtId="165" fontId="66" fillId="2" borderId="91" xfId="4" applyFont="1" applyFill="1" applyBorder="1" applyAlignment="1">
      <alignment horizontal="center" vertical="center"/>
    </xf>
    <xf numFmtId="0" fontId="28" fillId="5" borderId="27" xfId="0" applyFont="1" applyFill="1" applyBorder="1" applyAlignment="1">
      <alignment horizontal="left" vertical="center"/>
    </xf>
    <xf numFmtId="9" fontId="0" fillId="0" borderId="0" xfId="0" applyNumberFormat="1" applyAlignment="1">
      <alignment horizontal="center"/>
    </xf>
    <xf numFmtId="3" fontId="0" fillId="0" borderId="0" xfId="0" applyNumberFormat="1" applyAlignment="1">
      <alignment horizontal="center"/>
    </xf>
    <xf numFmtId="0" fontId="23" fillId="3" borderId="102" xfId="0" applyFont="1" applyFill="1" applyBorder="1" applyAlignment="1" applyProtection="1">
      <alignment vertical="center"/>
      <protection locked="0"/>
    </xf>
    <xf numFmtId="1" fontId="0" fillId="0" borderId="0" xfId="0" applyNumberFormat="1" applyAlignment="1">
      <alignment horizontal="center"/>
    </xf>
    <xf numFmtId="0" fontId="0" fillId="0" borderId="0" xfId="0" pivotButton="1" applyAlignment="1">
      <alignment wrapText="1"/>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pivotButton="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xf>
    <xf numFmtId="0" fontId="0" fillId="0" borderId="0" xfId="0" applyAlignment="1">
      <alignment horizontal="center" wrapText="1"/>
    </xf>
    <xf numFmtId="1" fontId="0" fillId="0" borderId="0" xfId="0" applyNumberFormat="1" applyAlignment="1">
      <alignment horizontal="center" vertical="center"/>
    </xf>
    <xf numFmtId="0" fontId="0" fillId="0" borderId="0" xfId="0" applyAlignment="1">
      <alignment horizontal="center"/>
    </xf>
    <xf numFmtId="0" fontId="0" fillId="0" borderId="0" xfId="0" applyAlignment="1">
      <alignment wrapText="1"/>
    </xf>
    <xf numFmtId="0" fontId="0" fillId="2" borderId="0" xfId="0" applyFill="1" applyBorder="1"/>
    <xf numFmtId="0" fontId="28" fillId="5" borderId="21" xfId="0" applyFont="1" applyFill="1" applyBorder="1" applyAlignment="1">
      <alignment horizontal="left" vertical="center"/>
    </xf>
    <xf numFmtId="0" fontId="67" fillId="2" borderId="0" xfId="0" applyFont="1" applyFill="1" applyAlignment="1">
      <alignment vertical="center" wrapText="1"/>
    </xf>
    <xf numFmtId="0" fontId="28" fillId="2" borderId="0" xfId="0" applyFont="1" applyFill="1" applyBorder="1" applyAlignment="1">
      <alignment horizontal="left" vertical="center"/>
    </xf>
    <xf numFmtId="0" fontId="31" fillId="2" borderId="0" xfId="0" applyFont="1" applyFill="1" applyBorder="1" applyAlignment="1">
      <alignment horizontal="left" vertical="center"/>
    </xf>
    <xf numFmtId="0" fontId="0" fillId="2" borderId="0" xfId="0" applyFill="1" applyAlignment="1">
      <alignment vertical="center"/>
    </xf>
    <xf numFmtId="0" fontId="43" fillId="11" borderId="0" xfId="0" applyFont="1" applyFill="1" applyAlignment="1">
      <alignment vertical="center"/>
    </xf>
    <xf numFmtId="0" fontId="44" fillId="11" borderId="0" xfId="0" applyFont="1" applyFill="1" applyAlignment="1">
      <alignment vertical="center"/>
    </xf>
    <xf numFmtId="0" fontId="44" fillId="2" borderId="0" xfId="0" applyFont="1" applyFill="1" applyAlignment="1">
      <alignment vertical="center"/>
    </xf>
    <xf numFmtId="0" fontId="18" fillId="8" borderId="98" xfId="0" applyFont="1" applyFill="1" applyBorder="1" applyAlignment="1">
      <alignment vertical="center"/>
    </xf>
    <xf numFmtId="0" fontId="0" fillId="2" borderId="0" xfId="0" applyNumberFormat="1" applyFill="1" applyAlignment="1">
      <alignment vertical="center"/>
    </xf>
    <xf numFmtId="0" fontId="68" fillId="2" borderId="105" xfId="0" applyFont="1" applyFill="1" applyBorder="1" applyAlignment="1">
      <alignment horizontal="center" vertical="center"/>
    </xf>
    <xf numFmtId="0" fontId="0" fillId="2" borderId="106" xfId="0" applyFill="1" applyBorder="1" applyAlignment="1">
      <alignment vertical="center"/>
    </xf>
    <xf numFmtId="9" fontId="0" fillId="2" borderId="107" xfId="0" applyNumberFormat="1" applyFill="1" applyBorder="1" applyAlignment="1">
      <alignment vertical="center"/>
    </xf>
    <xf numFmtId="9" fontId="68" fillId="2" borderId="108" xfId="0" applyNumberFormat="1" applyFont="1" applyFill="1" applyBorder="1" applyAlignment="1">
      <alignment vertical="center"/>
    </xf>
    <xf numFmtId="0" fontId="0" fillId="2" borderId="109" xfId="0" applyFill="1" applyBorder="1" applyAlignment="1">
      <alignment vertical="center"/>
    </xf>
    <xf numFmtId="9" fontId="0" fillId="2" borderId="110" xfId="0" applyNumberFormat="1" applyFill="1" applyBorder="1" applyAlignment="1">
      <alignment vertical="center"/>
    </xf>
    <xf numFmtId="9" fontId="68" fillId="2" borderId="111" xfId="0" applyNumberFormat="1" applyFont="1" applyFill="1" applyBorder="1" applyAlignment="1">
      <alignment vertical="center"/>
    </xf>
    <xf numFmtId="0" fontId="0" fillId="2" borderId="112" xfId="0" applyFill="1" applyBorder="1" applyAlignment="1">
      <alignment vertical="center"/>
    </xf>
    <xf numFmtId="9" fontId="0" fillId="2" borderId="113" xfId="0" applyNumberFormat="1" applyFill="1" applyBorder="1" applyAlignment="1">
      <alignment vertical="center"/>
    </xf>
    <xf numFmtId="9" fontId="68" fillId="2" borderId="114" xfId="0" applyNumberFormat="1" applyFont="1" applyFill="1" applyBorder="1" applyAlignment="1">
      <alignment vertical="center"/>
    </xf>
    <xf numFmtId="9" fontId="0" fillId="2" borderId="106" xfId="0" applyNumberFormat="1" applyFill="1" applyBorder="1" applyAlignment="1">
      <alignment vertical="center"/>
    </xf>
    <xf numFmtId="9" fontId="0" fillId="2" borderId="109" xfId="0" applyNumberFormat="1" applyFill="1" applyBorder="1" applyAlignment="1">
      <alignment vertical="center"/>
    </xf>
    <xf numFmtId="9" fontId="0" fillId="2" borderId="112" xfId="0" applyNumberFormat="1" applyFill="1" applyBorder="1" applyAlignment="1">
      <alignment vertical="center"/>
    </xf>
    <xf numFmtId="165" fontId="65" fillId="2" borderId="0" xfId="4" applyFont="1" applyFill="1" applyAlignment="1">
      <alignment horizontal="center" vertical="center"/>
    </xf>
    <xf numFmtId="165" fontId="65" fillId="2" borderId="116" xfId="4" applyFont="1" applyFill="1" applyBorder="1" applyAlignment="1">
      <alignment horizontal="center" vertical="center"/>
    </xf>
    <xf numFmtId="165" fontId="65" fillId="2" borderId="117" xfId="4" applyFont="1" applyFill="1" applyBorder="1" applyAlignment="1">
      <alignment horizontal="center" vertical="center"/>
    </xf>
    <xf numFmtId="3" fontId="65" fillId="2" borderId="118" xfId="4" applyNumberFormat="1" applyFont="1" applyFill="1" applyBorder="1" applyAlignment="1">
      <alignment horizontal="center" vertical="center"/>
    </xf>
    <xf numFmtId="165" fontId="65" fillId="2" borderId="115" xfId="4" applyFont="1" applyFill="1" applyBorder="1" applyAlignment="1">
      <alignment horizontal="center" vertical="center"/>
    </xf>
    <xf numFmtId="9" fontId="53" fillId="12" borderId="57" xfId="21" applyNumberFormat="1" applyFont="1" applyFill="1" applyBorder="1" applyAlignment="1" applyProtection="1">
      <alignment horizontal="center" vertical="center" wrapText="1"/>
      <protection locked="0"/>
    </xf>
    <xf numFmtId="9" fontId="53" fillId="12" borderId="59" xfId="21" applyNumberFormat="1" applyFont="1" applyFill="1" applyBorder="1" applyAlignment="1" applyProtection="1">
      <alignment horizontal="center" vertical="center" wrapText="1"/>
      <protection locked="0"/>
    </xf>
    <xf numFmtId="0" fontId="53" fillId="2" borderId="66" xfId="21" applyFont="1" applyFill="1" applyBorder="1" applyAlignment="1" applyProtection="1">
      <alignment horizontal="center" vertical="center" wrapText="1"/>
      <protection locked="0"/>
    </xf>
    <xf numFmtId="9" fontId="53" fillId="2" borderId="62" xfId="21" applyNumberFormat="1" applyFont="1" applyFill="1" applyBorder="1" applyAlignment="1" applyProtection="1">
      <alignment horizontal="center" vertical="center" wrapText="1"/>
      <protection locked="0"/>
    </xf>
    <xf numFmtId="0" fontId="0" fillId="0" borderId="0" xfId="0" applyAlignment="1">
      <alignment horizontal="left" indent="1"/>
    </xf>
    <xf numFmtId="0" fontId="0" fillId="0" borderId="0" xfId="0" applyAlignment="1">
      <alignment horizontal="left" indent="2"/>
    </xf>
    <xf numFmtId="169" fontId="53" fillId="2" borderId="0" xfId="21" applyNumberFormat="1" applyFont="1" applyFill="1" applyProtection="1">
      <protection locked="0"/>
    </xf>
    <xf numFmtId="0" fontId="18" fillId="0" borderId="0" xfId="0" pivotButton="1" applyFont="1" applyAlignment="1">
      <alignment horizontal="center" vertical="center" wrapText="1"/>
    </xf>
    <xf numFmtId="0" fontId="18" fillId="2" borderId="0" xfId="0" applyFont="1" applyFill="1" applyAlignment="1">
      <alignment horizontal="center" vertical="center" wrapText="1"/>
    </xf>
    <xf numFmtId="0" fontId="69" fillId="0" borderId="0" xfId="0" applyFont="1" applyAlignment="1">
      <alignment horizontal="center" vertical="center" wrapText="1"/>
    </xf>
    <xf numFmtId="0" fontId="22" fillId="2" borderId="0" xfId="0" applyFont="1" applyFill="1" applyBorder="1" applyAlignment="1" applyProtection="1">
      <alignment horizontal="center" vertical="center"/>
      <protection locked="0"/>
    </xf>
    <xf numFmtId="164" fontId="21" fillId="2" borderId="0" xfId="1" applyNumberFormat="1" applyFont="1" applyFill="1" applyBorder="1" applyAlignment="1" applyProtection="1">
      <alignment horizontal="center" vertical="center"/>
      <protection locked="0"/>
    </xf>
    <xf numFmtId="0" fontId="0" fillId="2" borderId="0" xfId="0" applyFill="1" applyAlignment="1">
      <alignment horizontal="left"/>
    </xf>
    <xf numFmtId="164" fontId="72" fillId="5" borderId="29" xfId="1" applyNumberFormat="1" applyFont="1" applyFill="1" applyBorder="1" applyAlignment="1" applyProtection="1">
      <alignment horizontal="center" vertical="center"/>
      <protection locked="0"/>
    </xf>
    <xf numFmtId="164" fontId="72" fillId="5" borderId="26" xfId="1" applyNumberFormat="1"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protection locked="0"/>
    </xf>
    <xf numFmtId="9" fontId="19" fillId="2" borderId="0" xfId="0" applyNumberFormat="1" applyFont="1" applyFill="1" applyBorder="1" applyAlignment="1" applyProtection="1">
      <alignment horizontal="center"/>
      <protection locked="0"/>
    </xf>
    <xf numFmtId="0" fontId="19" fillId="2" borderId="0" xfId="0" applyFont="1" applyFill="1" applyBorder="1" applyAlignment="1" applyProtection="1">
      <alignment horizontal="left" wrapText="1"/>
      <protection locked="0"/>
    </xf>
    <xf numFmtId="0" fontId="23" fillId="3" borderId="6" xfId="0" applyFont="1" applyFill="1" applyBorder="1" applyAlignment="1" applyProtection="1">
      <alignment vertical="center" wrapText="1"/>
      <protection locked="0"/>
    </xf>
    <xf numFmtId="0" fontId="19" fillId="2" borderId="0" xfId="0" applyFont="1" applyFill="1" applyBorder="1" applyAlignment="1" applyProtection="1">
      <alignment horizontal="center" wrapText="1"/>
      <protection locked="0"/>
    </xf>
    <xf numFmtId="0" fontId="20" fillId="6" borderId="99" xfId="0" applyFont="1" applyFill="1" applyBorder="1" applyAlignment="1" applyProtection="1">
      <alignment vertical="center" wrapText="1"/>
      <protection locked="0"/>
    </xf>
    <xf numFmtId="0" fontId="21" fillId="3" borderId="99" xfId="0" applyFont="1" applyFill="1" applyBorder="1" applyAlignment="1" applyProtection="1">
      <alignment vertical="center" wrapText="1"/>
    </xf>
    <xf numFmtId="0" fontId="21" fillId="13" borderId="47" xfId="0" applyFont="1" applyFill="1" applyBorder="1" applyAlignment="1" applyProtection="1">
      <alignment horizontal="center" vertical="center" wrapText="1"/>
    </xf>
    <xf numFmtId="9" fontId="37" fillId="4" borderId="120" xfId="3" applyFont="1" applyFill="1" applyBorder="1" applyAlignment="1" applyProtection="1">
      <alignment horizontal="center" vertical="center" wrapText="1"/>
    </xf>
    <xf numFmtId="1" fontId="26" fillId="13" borderId="120" xfId="3" applyNumberFormat="1" applyFont="1" applyFill="1" applyBorder="1" applyAlignment="1" applyProtection="1">
      <alignment horizontal="center" vertical="center" wrapText="1"/>
    </xf>
    <xf numFmtId="9" fontId="37" fillId="4" borderId="120" xfId="0" applyNumberFormat="1" applyFont="1" applyFill="1" applyBorder="1" applyAlignment="1" applyProtection="1">
      <alignment horizontal="center" vertical="center" wrapText="1"/>
    </xf>
    <xf numFmtId="1" fontId="26" fillId="13" borderId="120" xfId="0" applyNumberFormat="1" applyFont="1" applyFill="1" applyBorder="1" applyAlignment="1" applyProtection="1">
      <alignment horizontal="center" vertical="center" wrapText="1"/>
    </xf>
    <xf numFmtId="0" fontId="37" fillId="4" borderId="120" xfId="0" applyFont="1" applyFill="1" applyBorder="1" applyAlignment="1" applyProtection="1">
      <alignment horizontal="center" vertical="center" wrapText="1"/>
    </xf>
    <xf numFmtId="1" fontId="37" fillId="13" borderId="120" xfId="3" applyNumberFormat="1" applyFont="1" applyFill="1" applyBorder="1" applyAlignment="1" applyProtection="1">
      <alignment horizontal="center" vertical="center" wrapText="1"/>
    </xf>
    <xf numFmtId="9" fontId="26" fillId="6" borderId="120" xfId="0" applyNumberFormat="1" applyFont="1" applyFill="1" applyBorder="1" applyAlignment="1" applyProtection="1">
      <alignment horizontal="center" vertical="center" wrapText="1"/>
    </xf>
    <xf numFmtId="1" fontId="26" fillId="13" borderId="120" xfId="0" applyNumberFormat="1" applyFont="1" applyFill="1" applyBorder="1" applyAlignment="1" applyProtection="1">
      <alignment horizontal="center" vertical="center" wrapText="1"/>
      <protection locked="0"/>
    </xf>
    <xf numFmtId="1" fontId="26" fillId="6" borderId="120" xfId="0" applyNumberFormat="1" applyFont="1" applyFill="1" applyBorder="1" applyAlignment="1" applyProtection="1">
      <alignment horizontal="center" vertical="center" wrapText="1"/>
    </xf>
    <xf numFmtId="169" fontId="26" fillId="3" borderId="120" xfId="0" applyNumberFormat="1" applyFont="1" applyFill="1" applyBorder="1" applyAlignment="1" applyProtection="1">
      <alignment horizontal="center" vertical="center" wrapText="1"/>
      <protection locked="0"/>
    </xf>
    <xf numFmtId="3" fontId="26" fillId="3" borderId="120" xfId="0" applyNumberFormat="1" applyFont="1" applyFill="1" applyBorder="1" applyAlignment="1" applyProtection="1">
      <alignment horizontal="center" vertical="center" wrapText="1"/>
    </xf>
    <xf numFmtId="9" fontId="26" fillId="3" borderId="120" xfId="0" applyNumberFormat="1" applyFont="1" applyFill="1" applyBorder="1" applyAlignment="1" applyProtection="1">
      <alignment horizontal="center" vertical="center" wrapText="1"/>
    </xf>
    <xf numFmtId="0" fontId="26" fillId="3" borderId="120" xfId="0" applyFont="1" applyFill="1" applyBorder="1" applyAlignment="1" applyProtection="1">
      <alignment horizontal="center" vertical="center" wrapText="1"/>
    </xf>
    <xf numFmtId="9" fontId="37" fillId="4" borderId="84" xfId="3" applyFont="1" applyFill="1" applyBorder="1" applyAlignment="1" applyProtection="1">
      <alignment horizontal="center" vertical="center" wrapText="1"/>
    </xf>
    <xf numFmtId="1" fontId="26" fillId="13" borderId="84" xfId="3" applyNumberFormat="1" applyFont="1" applyFill="1" applyBorder="1" applyAlignment="1" applyProtection="1">
      <alignment horizontal="center" vertical="center" wrapText="1"/>
    </xf>
    <xf numFmtId="9" fontId="37" fillId="4" borderId="84" xfId="0" applyNumberFormat="1" applyFont="1" applyFill="1" applyBorder="1" applyAlignment="1" applyProtection="1">
      <alignment horizontal="center" vertical="center" wrapText="1"/>
    </xf>
    <xf numFmtId="1" fontId="26" fillId="13" borderId="84" xfId="0" applyNumberFormat="1" applyFont="1" applyFill="1" applyBorder="1" applyAlignment="1" applyProtection="1">
      <alignment horizontal="center" vertical="center" wrapText="1"/>
    </xf>
    <xf numFmtId="0" fontId="37" fillId="4" borderId="84" xfId="0" applyFont="1" applyFill="1" applyBorder="1" applyAlignment="1" applyProtection="1">
      <alignment horizontal="center" vertical="center" wrapText="1"/>
    </xf>
    <xf numFmtId="1" fontId="37" fillId="13" borderId="84" xfId="3" applyNumberFormat="1" applyFont="1" applyFill="1" applyBorder="1" applyAlignment="1" applyProtection="1">
      <alignment horizontal="center" vertical="center" wrapText="1"/>
    </xf>
    <xf numFmtId="9" fontId="26" fillId="6" borderId="84" xfId="0" applyNumberFormat="1" applyFont="1" applyFill="1" applyBorder="1" applyAlignment="1" applyProtection="1">
      <alignment horizontal="center" vertical="center" wrapText="1"/>
    </xf>
    <xf numFmtId="1" fontId="26" fillId="13" borderId="84" xfId="0" applyNumberFormat="1" applyFont="1" applyFill="1" applyBorder="1" applyAlignment="1" applyProtection="1">
      <alignment horizontal="center" vertical="center" wrapText="1"/>
      <protection locked="0"/>
    </xf>
    <xf numFmtId="1" fontId="26" fillId="6" borderId="84" xfId="0" applyNumberFormat="1" applyFont="1" applyFill="1" applyBorder="1" applyAlignment="1" applyProtection="1">
      <alignment horizontal="center" vertical="center" wrapText="1"/>
    </xf>
    <xf numFmtId="169" fontId="26" fillId="3" borderId="84" xfId="0" applyNumberFormat="1" applyFont="1" applyFill="1" applyBorder="1" applyAlignment="1" applyProtection="1">
      <alignment horizontal="center" vertical="center" wrapText="1"/>
      <protection locked="0"/>
    </xf>
    <xf numFmtId="3" fontId="26" fillId="3" borderId="84" xfId="0" applyNumberFormat="1" applyFont="1" applyFill="1" applyBorder="1" applyAlignment="1" applyProtection="1">
      <alignment horizontal="center" vertical="center" wrapText="1"/>
    </xf>
    <xf numFmtId="9" fontId="26" fillId="3" borderId="84" xfId="0" applyNumberFormat="1" applyFont="1" applyFill="1" applyBorder="1" applyAlignment="1" applyProtection="1">
      <alignment horizontal="center" vertical="center" wrapText="1"/>
    </xf>
    <xf numFmtId="0" fontId="26" fillId="3" borderId="84" xfId="0" applyFont="1" applyFill="1" applyBorder="1" applyAlignment="1" applyProtection="1">
      <alignment horizontal="center" vertical="center" wrapText="1"/>
    </xf>
    <xf numFmtId="3" fontId="26" fillId="3" borderId="84" xfId="0" applyNumberFormat="1" applyFont="1" applyFill="1" applyBorder="1" applyAlignment="1" applyProtection="1">
      <alignment horizontal="center" vertical="center" wrapText="1"/>
      <protection locked="0"/>
    </xf>
    <xf numFmtId="9" fontId="26" fillId="3" borderId="84" xfId="0" applyNumberFormat="1" applyFont="1" applyFill="1" applyBorder="1" applyAlignment="1" applyProtection="1">
      <alignment horizontal="center" vertical="center" wrapText="1"/>
      <protection locked="0"/>
    </xf>
    <xf numFmtId="0" fontId="35" fillId="5" borderId="104" xfId="0" applyFont="1" applyFill="1" applyBorder="1" applyAlignment="1" applyProtection="1">
      <alignment horizontal="center" vertical="center"/>
      <protection locked="0"/>
    </xf>
    <xf numFmtId="0" fontId="21" fillId="13" borderId="102" xfId="0" applyFont="1" applyFill="1" applyBorder="1" applyAlignment="1" applyProtection="1">
      <alignment horizontal="center" vertical="center" wrapText="1"/>
    </xf>
    <xf numFmtId="15" fontId="26" fillId="13" borderId="124" xfId="0" applyNumberFormat="1" applyFont="1" applyFill="1" applyBorder="1" applyAlignment="1" applyProtection="1">
      <alignment horizontal="center" vertical="center" wrapText="1"/>
      <protection locked="0"/>
    </xf>
    <xf numFmtId="15" fontId="26" fillId="13" borderId="21" xfId="0" applyNumberFormat="1" applyFont="1" applyFill="1" applyBorder="1" applyAlignment="1" applyProtection="1">
      <alignment horizontal="center" vertical="center" wrapText="1"/>
      <protection locked="0"/>
    </xf>
    <xf numFmtId="15" fontId="26" fillId="13" borderId="125" xfId="0" applyNumberFormat="1" applyFont="1" applyFill="1" applyBorder="1" applyAlignment="1" applyProtection="1">
      <alignment horizontal="center" vertical="center" wrapText="1"/>
      <protection locked="0"/>
    </xf>
    <xf numFmtId="0" fontId="26" fillId="13" borderId="84" xfId="0" applyFont="1" applyFill="1" applyBorder="1" applyAlignment="1" applyProtection="1">
      <alignment horizontal="center" vertical="center" wrapText="1"/>
      <protection locked="0"/>
    </xf>
    <xf numFmtId="0" fontId="26" fillId="13" borderId="120" xfId="0" applyFont="1" applyFill="1" applyBorder="1" applyAlignment="1" applyProtection="1">
      <alignment horizontal="center" vertical="center" wrapText="1"/>
      <protection locked="0"/>
    </xf>
    <xf numFmtId="9" fontId="37" fillId="4" borderId="122" xfId="3" applyFont="1" applyFill="1" applyBorder="1" applyAlignment="1" applyProtection="1">
      <alignment horizontal="center" vertical="center" wrapText="1"/>
    </xf>
    <xf numFmtId="9" fontId="37" fillId="4" borderId="123" xfId="3" applyFont="1" applyFill="1" applyBorder="1" applyAlignment="1" applyProtection="1">
      <alignment horizontal="center" vertical="center" wrapText="1"/>
    </xf>
    <xf numFmtId="3" fontId="26" fillId="3" borderId="121" xfId="0" applyNumberFormat="1" applyFont="1" applyFill="1" applyBorder="1" applyAlignment="1" applyProtection="1">
      <alignment horizontal="center" vertical="center" wrapText="1"/>
    </xf>
    <xf numFmtId="3" fontId="26" fillId="3" borderId="119" xfId="0" applyNumberFormat="1" applyFont="1" applyFill="1" applyBorder="1" applyAlignment="1" applyProtection="1">
      <alignment horizontal="center" vertical="center" wrapText="1"/>
    </xf>
    <xf numFmtId="3" fontId="26" fillId="13" borderId="124" xfId="0" applyNumberFormat="1" applyFont="1" applyFill="1" applyBorder="1" applyAlignment="1" applyProtection="1">
      <alignment horizontal="center" vertical="center" wrapText="1"/>
      <protection locked="0"/>
    </xf>
    <xf numFmtId="3" fontId="26" fillId="13" borderId="21" xfId="0" applyNumberFormat="1" applyFont="1" applyFill="1" applyBorder="1" applyAlignment="1" applyProtection="1">
      <alignment horizontal="center" vertical="center" wrapText="1"/>
      <protection locked="0"/>
    </xf>
    <xf numFmtId="0" fontId="53" fillId="2" borderId="68" xfId="32" applyFont="1" applyFill="1" applyBorder="1" applyAlignment="1" applyProtection="1">
      <alignment horizontal="center" vertical="center" wrapText="1"/>
      <protection locked="0"/>
    </xf>
    <xf numFmtId="0" fontId="53" fillId="2" borderId="67" xfId="32" applyFont="1" applyFill="1" applyBorder="1" applyAlignment="1" applyProtection="1">
      <alignment horizontal="center" vertical="center" wrapText="1"/>
      <protection locked="0"/>
    </xf>
    <xf numFmtId="0" fontId="53" fillId="2" borderId="87" xfId="32" applyFont="1" applyFill="1" applyBorder="1" applyAlignment="1" applyProtection="1">
      <alignment horizontal="center" vertical="center" wrapText="1"/>
      <protection locked="0"/>
    </xf>
    <xf numFmtId="0" fontId="53" fillId="6" borderId="57" xfId="32" applyFont="1" applyFill="1" applyBorder="1" applyAlignment="1" applyProtection="1">
      <alignment horizontal="center" vertical="center" wrapText="1"/>
      <protection locked="0"/>
    </xf>
    <xf numFmtId="0" fontId="59" fillId="6" borderId="57" xfId="32" applyFont="1" applyFill="1" applyBorder="1" applyAlignment="1" applyProtection="1">
      <alignment horizontal="center" vertical="center" wrapText="1"/>
      <protection locked="0"/>
    </xf>
    <xf numFmtId="0" fontId="53" fillId="2" borderId="58" xfId="32" applyFont="1" applyFill="1" applyBorder="1" applyAlignment="1" applyProtection="1">
      <alignment horizontal="left" vertical="center" wrapText="1"/>
      <protection locked="0"/>
    </xf>
    <xf numFmtId="14" fontId="60" fillId="2" borderId="56" xfId="32" applyNumberFormat="1" applyFont="1" applyFill="1" applyBorder="1" applyAlignment="1" applyProtection="1">
      <alignment horizontal="center" vertical="center" wrapText="1"/>
      <protection locked="0"/>
    </xf>
    <xf numFmtId="14" fontId="60" fillId="2" borderId="57" xfId="32" applyNumberFormat="1" applyFont="1" applyFill="1" applyBorder="1" applyAlignment="1" applyProtection="1">
      <alignment horizontal="center" vertical="center" wrapText="1"/>
      <protection locked="0"/>
    </xf>
    <xf numFmtId="0" fontId="60" fillId="2" borderId="59" xfId="32" applyFont="1" applyFill="1" applyBorder="1" applyAlignment="1" applyProtection="1">
      <alignment horizontal="center" vertical="center" wrapText="1"/>
      <protection locked="0"/>
    </xf>
    <xf numFmtId="0" fontId="53" fillId="6" borderId="68" xfId="32" applyFont="1" applyFill="1" applyBorder="1" applyAlignment="1" applyProtection="1">
      <alignment horizontal="center" vertical="center" wrapText="1"/>
      <protection locked="0"/>
    </xf>
    <xf numFmtId="0" fontId="53" fillId="2" borderId="58" xfId="32" applyFont="1" applyFill="1" applyBorder="1" applyAlignment="1" applyProtection="1">
      <alignment horizontal="left" vertical="center" wrapText="1"/>
      <protection locked="0"/>
    </xf>
    <xf numFmtId="0" fontId="53" fillId="2" borderId="61" xfId="32" applyFont="1" applyFill="1" applyBorder="1" applyAlignment="1" applyProtection="1">
      <alignment horizontal="center" vertical="center" wrapText="1"/>
      <protection locked="0"/>
    </xf>
    <xf numFmtId="0" fontId="53" fillId="2" borderId="57" xfId="32" applyFont="1" applyFill="1" applyBorder="1" applyAlignment="1" applyProtection="1">
      <alignment horizontal="center" vertical="center" wrapText="1"/>
      <protection locked="0"/>
    </xf>
    <xf numFmtId="0" fontId="53" fillId="2" borderId="60" xfId="32" applyFont="1" applyFill="1" applyBorder="1" applyAlignment="1" applyProtection="1">
      <alignment horizontal="center" vertical="center" wrapText="1"/>
      <protection locked="0"/>
    </xf>
    <xf numFmtId="14" fontId="60" fillId="2" borderId="67" xfId="32" applyNumberFormat="1" applyFont="1" applyFill="1" applyBorder="1" applyAlignment="1" applyProtection="1">
      <alignment horizontal="center" vertical="center" wrapText="1"/>
      <protection locked="0"/>
    </xf>
    <xf numFmtId="14" fontId="60" fillId="2" borderId="68" xfId="32" applyNumberFormat="1" applyFont="1" applyFill="1" applyBorder="1" applyAlignment="1" applyProtection="1">
      <alignment horizontal="center" vertical="center" wrapText="1"/>
      <protection locked="0"/>
    </xf>
    <xf numFmtId="0" fontId="60" fillId="2" borderId="69" xfId="32" applyFont="1" applyFill="1" applyBorder="1" applyAlignment="1" applyProtection="1">
      <alignment horizontal="center" vertical="center" wrapText="1"/>
      <protection locked="0"/>
    </xf>
    <xf numFmtId="0" fontId="53" fillId="6" borderId="68" xfId="32" applyFont="1" applyFill="1" applyBorder="1" applyAlignment="1" applyProtection="1">
      <alignment horizontal="center" vertical="center" wrapText="1"/>
      <protection locked="0"/>
    </xf>
    <xf numFmtId="0" fontId="59" fillId="6" borderId="68" xfId="32" applyFont="1" applyFill="1" applyBorder="1" applyAlignment="1" applyProtection="1">
      <alignment horizontal="center" vertical="center" wrapText="1"/>
      <protection locked="0"/>
    </xf>
    <xf numFmtId="0" fontId="53" fillId="2" borderId="69" xfId="32" applyFont="1" applyFill="1" applyBorder="1" applyAlignment="1" applyProtection="1">
      <alignment horizontal="center" vertical="center" wrapText="1"/>
      <protection locked="0"/>
    </xf>
    <xf numFmtId="9" fontId="53" fillId="2" borderId="68" xfId="32" applyNumberFormat="1" applyFont="1" applyFill="1" applyBorder="1" applyAlignment="1" applyProtection="1">
      <alignment horizontal="center" vertical="center" wrapText="1"/>
      <protection locked="0"/>
    </xf>
    <xf numFmtId="9" fontId="53" fillId="2" borderId="85" xfId="32" applyNumberFormat="1" applyFont="1" applyFill="1" applyBorder="1" applyAlignment="1" applyProtection="1">
      <alignment horizontal="center" vertical="center" wrapText="1"/>
      <protection locked="0"/>
    </xf>
    <xf numFmtId="9" fontId="53" fillId="2" borderId="86" xfId="32" applyNumberFormat="1" applyFont="1" applyFill="1" applyBorder="1" applyAlignment="1" applyProtection="1">
      <alignment horizontal="center" vertical="center" wrapText="1"/>
      <protection locked="0"/>
    </xf>
    <xf numFmtId="9" fontId="53" fillId="2" borderId="69" xfId="32" applyNumberFormat="1" applyFont="1" applyFill="1" applyBorder="1" applyAlignment="1" applyProtection="1">
      <alignment horizontal="center" vertical="center" wrapText="1"/>
      <protection locked="0"/>
    </xf>
    <xf numFmtId="0" fontId="59" fillId="6" borderId="56" xfId="37" applyFont="1" applyFill="1" applyBorder="1" applyAlignment="1" applyProtection="1">
      <alignment horizontal="left" vertical="center" wrapText="1"/>
      <protection locked="0"/>
    </xf>
    <xf numFmtId="3" fontId="53" fillId="14" borderId="56" xfId="21" applyNumberFormat="1" applyFont="1" applyFill="1" applyBorder="1" applyAlignment="1" applyProtection="1">
      <alignment horizontal="center" vertical="center" wrapText="1"/>
      <protection locked="0"/>
    </xf>
    <xf numFmtId="0" fontId="53" fillId="2" borderId="56" xfId="37" applyFont="1" applyFill="1" applyBorder="1" applyAlignment="1" applyProtection="1">
      <alignment horizontal="center" vertical="center" wrapText="1"/>
      <protection locked="0"/>
    </xf>
    <xf numFmtId="9" fontId="53" fillId="2" borderId="61" xfId="37" applyNumberFormat="1" applyFont="1" applyFill="1" applyBorder="1" applyAlignment="1" applyProtection="1">
      <alignment horizontal="center" vertical="center" wrapText="1"/>
      <protection locked="0"/>
    </xf>
    <xf numFmtId="9" fontId="53" fillId="2" borderId="59" xfId="37" applyNumberFormat="1" applyFont="1" applyFill="1" applyBorder="1" applyAlignment="1" applyProtection="1">
      <alignment horizontal="center" vertical="center" wrapText="1"/>
      <protection locked="0"/>
    </xf>
    <xf numFmtId="0" fontId="53" fillId="2" borderId="61" xfId="37" applyFont="1" applyFill="1" applyBorder="1" applyAlignment="1" applyProtection="1">
      <alignment horizontal="center" vertical="center" wrapText="1"/>
      <protection locked="0"/>
    </xf>
    <xf numFmtId="0" fontId="53" fillId="2" borderId="57" xfId="37" applyFont="1" applyFill="1" applyBorder="1" applyAlignment="1" applyProtection="1">
      <alignment horizontal="center" vertical="center" wrapText="1"/>
      <protection locked="0"/>
    </xf>
    <xf numFmtId="0" fontId="53" fillId="2" borderId="60" xfId="37" applyFont="1" applyFill="1" applyBorder="1" applyAlignment="1" applyProtection="1">
      <alignment horizontal="center" vertical="center" wrapText="1"/>
      <protection locked="0"/>
    </xf>
    <xf numFmtId="9" fontId="53" fillId="2" borderId="57" xfId="37" applyNumberFormat="1" applyFont="1" applyFill="1" applyBorder="1" applyAlignment="1" applyProtection="1">
      <alignment horizontal="center" vertical="center" wrapText="1"/>
      <protection locked="0"/>
    </xf>
    <xf numFmtId="9" fontId="53" fillId="2" borderId="60" xfId="37" applyNumberFormat="1" applyFont="1" applyFill="1" applyBorder="1" applyAlignment="1" applyProtection="1">
      <alignment horizontal="center" vertical="center" wrapText="1"/>
      <protection locked="0"/>
    </xf>
    <xf numFmtId="0" fontId="53" fillId="2" borderId="67" xfId="37" applyFont="1" applyFill="1" applyBorder="1" applyAlignment="1" applyProtection="1">
      <alignment horizontal="center" vertical="center" wrapText="1"/>
      <protection locked="0"/>
    </xf>
    <xf numFmtId="0" fontId="53" fillId="2" borderId="87" xfId="37" applyFont="1" applyFill="1" applyBorder="1" applyAlignment="1" applyProtection="1">
      <alignment horizontal="center" vertical="center" wrapText="1"/>
      <protection locked="0"/>
    </xf>
    <xf numFmtId="0" fontId="53" fillId="2" borderId="68" xfId="37" applyFont="1" applyFill="1" applyBorder="1" applyAlignment="1" applyProtection="1">
      <alignment horizontal="center" vertical="center" wrapText="1"/>
      <protection locked="0"/>
    </xf>
    <xf numFmtId="0" fontId="53" fillId="2" borderId="61" xfId="37" applyFont="1" applyFill="1" applyBorder="1" applyAlignment="1" applyProtection="1">
      <alignment horizontal="center" vertical="center" wrapText="1"/>
      <protection locked="0"/>
    </xf>
    <xf numFmtId="0" fontId="53" fillId="2" borderId="57" xfId="37" applyFont="1" applyFill="1" applyBorder="1" applyAlignment="1" applyProtection="1">
      <alignment horizontal="center" vertical="center" wrapText="1"/>
      <protection locked="0"/>
    </xf>
    <xf numFmtId="0" fontId="53" fillId="2" borderId="60" xfId="37" applyFont="1" applyFill="1" applyBorder="1" applyAlignment="1" applyProtection="1">
      <alignment horizontal="center" vertical="center" wrapText="1"/>
      <protection locked="0"/>
    </xf>
    <xf numFmtId="0" fontId="53" fillId="2" borderId="69" xfId="37" applyFont="1" applyFill="1" applyBorder="1" applyAlignment="1" applyProtection="1">
      <alignment horizontal="center" vertical="center" wrapText="1"/>
      <protection locked="0"/>
    </xf>
    <xf numFmtId="9" fontId="53" fillId="2" borderId="68" xfId="37" applyNumberFormat="1" applyFont="1" applyFill="1" applyBorder="1" applyAlignment="1" applyProtection="1">
      <alignment horizontal="center" vertical="center" wrapText="1"/>
      <protection locked="0"/>
    </xf>
    <xf numFmtId="9" fontId="53" fillId="2" borderId="85" xfId="37" applyNumberFormat="1" applyFont="1" applyFill="1" applyBorder="1" applyAlignment="1" applyProtection="1">
      <alignment horizontal="center" vertical="center" wrapText="1"/>
      <protection locked="0"/>
    </xf>
    <xf numFmtId="9" fontId="53" fillId="2" borderId="86" xfId="37" applyNumberFormat="1" applyFont="1" applyFill="1" applyBorder="1" applyAlignment="1" applyProtection="1">
      <alignment horizontal="center" vertical="center" wrapText="1"/>
      <protection locked="0"/>
    </xf>
    <xf numFmtId="9" fontId="53" fillId="2" borderId="69" xfId="37" applyNumberFormat="1" applyFont="1" applyFill="1" applyBorder="1" applyAlignment="1" applyProtection="1">
      <alignment horizontal="center" vertical="center" wrapText="1"/>
      <protection locked="0"/>
    </xf>
    <xf numFmtId="9" fontId="53" fillId="14" borderId="57" xfId="21" applyNumberFormat="1" applyFont="1" applyFill="1" applyBorder="1" applyAlignment="1" applyProtection="1">
      <alignment horizontal="center" vertical="center" wrapText="1"/>
      <protection locked="0"/>
    </xf>
    <xf numFmtId="9" fontId="53" fillId="14" borderId="60" xfId="21" applyNumberFormat="1" applyFont="1" applyFill="1" applyBorder="1" applyAlignment="1" applyProtection="1">
      <alignment horizontal="center" vertical="center" wrapText="1"/>
      <protection locked="0"/>
    </xf>
    <xf numFmtId="9" fontId="53" fillId="14" borderId="61" xfId="21" applyNumberFormat="1" applyFont="1" applyFill="1" applyBorder="1" applyAlignment="1" applyProtection="1">
      <alignment horizontal="center" vertical="center" wrapText="1"/>
      <protection locked="0"/>
    </xf>
    <xf numFmtId="9" fontId="53" fillId="14" borderId="59" xfId="21" applyNumberFormat="1" applyFont="1" applyFill="1" applyBorder="1" applyAlignment="1" applyProtection="1">
      <alignment horizontal="center" vertical="center" wrapText="1"/>
      <protection locked="0"/>
    </xf>
    <xf numFmtId="3" fontId="53" fillId="14" borderId="61" xfId="21" applyNumberFormat="1" applyFont="1" applyFill="1" applyBorder="1" applyAlignment="1" applyProtection="1">
      <alignment horizontal="center" vertical="center" wrapText="1"/>
      <protection locked="0"/>
    </xf>
    <xf numFmtId="3" fontId="53" fillId="14" borderId="57" xfId="21" applyNumberFormat="1" applyFont="1" applyFill="1" applyBorder="1" applyAlignment="1" applyProtection="1">
      <alignment horizontal="center" vertical="center" wrapText="1"/>
      <protection locked="0"/>
    </xf>
    <xf numFmtId="0" fontId="53" fillId="14" borderId="57" xfId="21" applyFont="1" applyFill="1" applyBorder="1" applyAlignment="1" applyProtection="1">
      <alignment horizontal="center" vertical="center" wrapText="1"/>
      <protection locked="0"/>
    </xf>
    <xf numFmtId="0" fontId="53" fillId="14" borderId="59" xfId="21" applyFont="1" applyFill="1" applyBorder="1" applyAlignment="1" applyProtection="1">
      <alignment horizontal="center" vertical="center" wrapText="1"/>
      <protection locked="0"/>
    </xf>
    <xf numFmtId="0" fontId="53" fillId="14" borderId="58" xfId="21" applyFont="1" applyFill="1" applyBorder="1" applyAlignment="1" applyProtection="1">
      <alignment horizontal="left" vertical="center" wrapText="1"/>
      <protection locked="0"/>
    </xf>
    <xf numFmtId="0" fontId="74" fillId="5" borderId="120" xfId="0" applyFont="1" applyFill="1" applyBorder="1" applyAlignment="1" applyProtection="1">
      <alignment horizontal="center" vertical="center" wrapText="1"/>
      <protection locked="0"/>
    </xf>
    <xf numFmtId="0" fontId="48" fillId="0" borderId="120" xfId="0" applyFont="1" applyFill="1" applyBorder="1" applyAlignment="1">
      <alignment horizontal="center" vertical="center"/>
    </xf>
    <xf numFmtId="0" fontId="48" fillId="5" borderId="121" xfId="0" applyFont="1" applyFill="1" applyBorder="1" applyAlignment="1">
      <alignment horizontal="center" vertical="center"/>
    </xf>
    <xf numFmtId="0" fontId="74" fillId="5" borderId="84" xfId="0" applyFont="1" applyFill="1" applyBorder="1" applyAlignment="1" applyProtection="1">
      <alignment horizontal="center" vertical="center" wrapText="1"/>
      <protection locked="0"/>
    </xf>
    <xf numFmtId="0" fontId="48" fillId="0" borderId="84" xfId="0" applyFont="1" applyFill="1" applyBorder="1" applyAlignment="1">
      <alignment horizontal="center" vertical="center"/>
    </xf>
    <xf numFmtId="0" fontId="48" fillId="5" borderId="119" xfId="0" applyFont="1" applyFill="1" applyBorder="1" applyAlignment="1">
      <alignment horizontal="center" vertical="center"/>
    </xf>
    <xf numFmtId="0" fontId="74" fillId="0" borderId="84" xfId="0" applyFont="1" applyFill="1" applyBorder="1" applyAlignment="1" applyProtection="1">
      <alignment horizontal="center" vertical="center" wrapText="1"/>
      <protection locked="0"/>
    </xf>
    <xf numFmtId="0" fontId="74" fillId="5" borderId="119" xfId="0" applyFont="1" applyFill="1" applyBorder="1" applyAlignment="1" applyProtection="1">
      <alignment horizontal="center" vertical="center" wrapText="1"/>
      <protection locked="0"/>
    </xf>
    <xf numFmtId="169" fontId="48" fillId="5" borderId="120" xfId="0" applyNumberFormat="1" applyFont="1" applyFill="1" applyBorder="1" applyAlignment="1">
      <alignment horizontal="center" vertical="center"/>
    </xf>
    <xf numFmtId="0" fontId="48" fillId="5" borderId="123" xfId="0" applyFont="1" applyFill="1" applyBorder="1" applyAlignment="1">
      <alignment horizontal="center" vertical="center"/>
    </xf>
    <xf numFmtId="169" fontId="48" fillId="5" borderId="84" xfId="0" applyNumberFormat="1" applyFont="1" applyFill="1" applyBorder="1" applyAlignment="1">
      <alignment horizontal="center" vertical="center"/>
    </xf>
    <xf numFmtId="0" fontId="74" fillId="5" borderId="123" xfId="0" applyFont="1" applyFill="1" applyBorder="1" applyAlignment="1" applyProtection="1">
      <alignment horizontal="center" vertical="center" wrapText="1"/>
      <protection locked="0"/>
    </xf>
    <xf numFmtId="0" fontId="48" fillId="0" borderId="122" xfId="0" applyFont="1" applyBorder="1" applyAlignment="1">
      <alignment horizontal="center" vertical="center"/>
    </xf>
    <xf numFmtId="0" fontId="48" fillId="0" borderId="121" xfId="0" applyFont="1" applyFill="1" applyBorder="1" applyAlignment="1">
      <alignment horizontal="center" vertical="center"/>
    </xf>
    <xf numFmtId="0" fontId="48" fillId="0" borderId="123" xfId="0" applyFont="1" applyBorder="1" applyAlignment="1">
      <alignment horizontal="center" vertical="center"/>
    </xf>
    <xf numFmtId="0" fontId="48" fillId="0" borderId="119" xfId="0" applyFont="1" applyFill="1" applyBorder="1" applyAlignment="1">
      <alignment horizontal="center" vertical="center"/>
    </xf>
    <xf numFmtId="0" fontId="74" fillId="0" borderId="123"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48" fillId="0" borderId="120" xfId="0" applyFont="1" applyBorder="1" applyAlignment="1">
      <alignment horizontal="center" vertical="center"/>
    </xf>
    <xf numFmtId="0" fontId="48" fillId="0" borderId="121" xfId="0" applyFont="1" applyBorder="1" applyAlignment="1">
      <alignment horizontal="center" vertical="center"/>
    </xf>
    <xf numFmtId="0" fontId="48" fillId="0" borderId="84" xfId="0" applyFont="1" applyBorder="1" applyAlignment="1">
      <alignment horizontal="center" vertical="center"/>
    </xf>
    <xf numFmtId="0" fontId="48" fillId="0" borderId="119" xfId="0" applyFont="1" applyBorder="1" applyAlignment="1">
      <alignment horizontal="center" vertical="center"/>
    </xf>
    <xf numFmtId="0" fontId="48" fillId="0" borderId="123" xfId="0" applyFont="1" applyFill="1" applyBorder="1" applyAlignment="1">
      <alignment horizontal="center" vertical="center"/>
    </xf>
    <xf numFmtId="9" fontId="48" fillId="0" borderId="121" xfId="0" applyNumberFormat="1" applyFont="1" applyBorder="1" applyAlignment="1">
      <alignment horizontal="center" vertical="center"/>
    </xf>
    <xf numFmtId="9" fontId="48" fillId="0" borderId="119" xfId="0" applyNumberFormat="1" applyFont="1" applyBorder="1" applyAlignment="1">
      <alignment horizontal="center" vertical="center"/>
    </xf>
    <xf numFmtId="9" fontId="74" fillId="0" borderId="123" xfId="3" applyFont="1" applyFill="1" applyBorder="1" applyAlignment="1" applyProtection="1">
      <alignment horizontal="center" vertical="center" wrapText="1"/>
      <protection locked="0"/>
    </xf>
    <xf numFmtId="9" fontId="74" fillId="0" borderId="119" xfId="0" applyNumberFormat="1" applyFont="1" applyFill="1" applyBorder="1" applyAlignment="1" applyProtection="1">
      <alignment horizontal="center" vertical="center" wrapText="1"/>
      <protection locked="0"/>
    </xf>
    <xf numFmtId="9" fontId="48" fillId="0" borderId="123" xfId="0" applyNumberFormat="1" applyFont="1" applyFill="1" applyBorder="1" applyAlignment="1">
      <alignment horizontal="center" vertical="center"/>
    </xf>
    <xf numFmtId="9" fontId="48" fillId="0" borderId="119" xfId="0" applyNumberFormat="1" applyFont="1" applyFill="1" applyBorder="1" applyAlignment="1">
      <alignment horizontal="center" vertical="center"/>
    </xf>
    <xf numFmtId="9" fontId="48" fillId="0" borderId="120" xfId="0" applyNumberFormat="1" applyFont="1" applyBorder="1" applyAlignment="1">
      <alignment horizontal="center" vertical="center"/>
    </xf>
    <xf numFmtId="0" fontId="26" fillId="13" borderId="120" xfId="0" applyNumberFormat="1" applyFont="1" applyFill="1" applyBorder="1" applyAlignment="1" applyProtection="1">
      <alignment horizontal="center" vertical="center" wrapText="1"/>
    </xf>
    <xf numFmtId="9" fontId="48" fillId="0" borderId="84" xfId="0" applyNumberFormat="1" applyFont="1" applyBorder="1" applyAlignment="1">
      <alignment horizontal="center" vertical="center"/>
    </xf>
    <xf numFmtId="0" fontId="26" fillId="13" borderId="84" xfId="0" applyNumberFormat="1" applyFont="1" applyFill="1" applyBorder="1" applyAlignment="1" applyProtection="1">
      <alignment horizontal="center" vertical="center" wrapText="1"/>
    </xf>
    <xf numFmtId="0" fontId="48" fillId="0" borderId="119" xfId="0" applyFont="1" applyBorder="1" applyAlignment="1">
      <alignment horizontal="center" vertical="center" wrapText="1"/>
    </xf>
    <xf numFmtId="9" fontId="74" fillId="0" borderId="84" xfId="0" applyNumberFormat="1" applyFont="1" applyFill="1" applyBorder="1" applyAlignment="1" applyProtection="1">
      <alignment horizontal="center" vertical="center" wrapText="1"/>
      <protection locked="0"/>
    </xf>
    <xf numFmtId="0" fontId="48" fillId="0" borderId="119" xfId="0" applyFont="1" applyBorder="1" applyAlignment="1">
      <alignment horizontal="left" vertical="center" wrapText="1"/>
    </xf>
    <xf numFmtId="9" fontId="48" fillId="0" borderId="84" xfId="0" applyNumberFormat="1" applyFont="1" applyFill="1" applyBorder="1" applyAlignment="1">
      <alignment horizontal="center" vertical="center"/>
    </xf>
    <xf numFmtId="0" fontId="19" fillId="2" borderId="119" xfId="0" applyFont="1" applyFill="1" applyBorder="1" applyAlignment="1" applyProtection="1">
      <alignment horizontal="center"/>
      <protection locked="0"/>
    </xf>
    <xf numFmtId="9" fontId="48" fillId="0" borderId="120" xfId="0" applyNumberFormat="1" applyFont="1" applyFill="1" applyBorder="1" applyAlignment="1">
      <alignment horizontal="center" vertical="center"/>
    </xf>
    <xf numFmtId="1" fontId="74" fillId="0" borderId="84" xfId="0" applyNumberFormat="1" applyFont="1" applyFill="1" applyBorder="1" applyAlignment="1" applyProtection="1">
      <alignment horizontal="center" vertical="center" wrapText="1"/>
      <protection locked="0"/>
    </xf>
    <xf numFmtId="9" fontId="74" fillId="0" borderId="84" xfId="3" applyFont="1" applyFill="1" applyBorder="1" applyAlignment="1" applyProtection="1">
      <alignment horizontal="center" vertical="center" wrapText="1"/>
      <protection locked="0"/>
    </xf>
    <xf numFmtId="9" fontId="74" fillId="2" borderId="119" xfId="3" applyFont="1" applyFill="1" applyBorder="1" applyAlignment="1" applyProtection="1">
      <alignment horizontal="center" vertical="center" wrapText="1"/>
    </xf>
    <xf numFmtId="1" fontId="74" fillId="2" borderId="84" xfId="0" applyNumberFormat="1" applyFont="1" applyFill="1" applyBorder="1" applyAlignment="1" applyProtection="1">
      <alignment horizontal="center" vertical="center" wrapText="1"/>
    </xf>
    <xf numFmtId="1" fontId="74" fillId="0" borderId="84" xfId="0" applyNumberFormat="1" applyFont="1" applyFill="1" applyBorder="1" applyAlignment="1" applyProtection="1">
      <alignment horizontal="center" vertical="center" wrapText="1"/>
    </xf>
    <xf numFmtId="9" fontId="74" fillId="2" borderId="84" xfId="3" applyFont="1" applyFill="1" applyBorder="1" applyAlignment="1" applyProtection="1">
      <alignment horizontal="center" vertical="center" wrapText="1"/>
    </xf>
    <xf numFmtId="0" fontId="48" fillId="0" borderId="126" xfId="0" applyFont="1" applyBorder="1" applyAlignment="1">
      <alignment horizontal="center" vertical="center" wrapText="1"/>
    </xf>
    <xf numFmtId="0" fontId="48" fillId="0" borderId="127" xfId="0" applyFont="1" applyBorder="1" applyAlignment="1">
      <alignment horizontal="center" vertical="center" wrapText="1"/>
    </xf>
    <xf numFmtId="9" fontId="74" fillId="0" borderId="127" xfId="0" applyNumberFormat="1" applyFont="1" applyFill="1" applyBorder="1" applyAlignment="1" applyProtection="1">
      <alignment horizontal="center" vertical="center" wrapText="1"/>
      <protection locked="0"/>
    </xf>
    <xf numFmtId="169" fontId="48" fillId="0" borderId="123" xfId="0" applyNumberFormat="1" applyFont="1" applyFill="1" applyBorder="1" applyAlignment="1">
      <alignment horizontal="center" vertical="center"/>
    </xf>
    <xf numFmtId="169" fontId="74" fillId="0" borderId="123" xfId="0" applyNumberFormat="1" applyFont="1" applyFill="1" applyBorder="1" applyAlignment="1" applyProtection="1">
      <alignment horizontal="center" vertical="center" wrapText="1"/>
      <protection locked="0"/>
    </xf>
    <xf numFmtId="0" fontId="75" fillId="2" borderId="123" xfId="0" applyFont="1" applyFill="1" applyBorder="1" applyAlignment="1" applyProtection="1">
      <alignment horizontal="center"/>
      <protection locked="0"/>
    </xf>
    <xf numFmtId="1" fontId="74" fillId="0" borderId="123" xfId="0" applyNumberFormat="1" applyFont="1" applyFill="1" applyBorder="1" applyAlignment="1" applyProtection="1">
      <alignment horizontal="center" vertical="center" wrapText="1"/>
      <protection locked="0"/>
    </xf>
    <xf numFmtId="0" fontId="48" fillId="0" borderId="123" xfId="0" applyFont="1" applyFill="1" applyBorder="1" applyAlignment="1">
      <alignment horizontal="center" vertical="center" wrapText="1"/>
    </xf>
    <xf numFmtId="0" fontId="48" fillId="0" borderId="123" xfId="0" applyFont="1" applyBorder="1" applyAlignment="1">
      <alignment horizontal="center" vertical="center" wrapText="1"/>
    </xf>
    <xf numFmtId="0" fontId="48" fillId="0" borderId="128" xfId="0" applyFont="1" applyBorder="1" applyAlignment="1">
      <alignment horizontal="center" vertical="center" wrapText="1"/>
    </xf>
    <xf numFmtId="0" fontId="48" fillId="0" borderId="129" xfId="0" applyFont="1" applyBorder="1" applyAlignment="1">
      <alignment horizontal="center" vertical="center" wrapText="1"/>
    </xf>
    <xf numFmtId="0" fontId="76" fillId="2" borderId="129" xfId="0" applyFont="1" applyFill="1" applyBorder="1" applyAlignment="1" applyProtection="1">
      <alignment horizontal="left"/>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wrapText="1"/>
      <protection locked="0"/>
    </xf>
    <xf numFmtId="0" fontId="53" fillId="14" borderId="60" xfId="21" applyFont="1" applyFill="1" applyBorder="1" applyAlignment="1" applyProtection="1">
      <alignment horizontal="center" vertical="center" wrapText="1"/>
      <protection locked="0"/>
    </xf>
    <xf numFmtId="0" fontId="53" fillId="0" borderId="58" xfId="21" applyFont="1" applyFill="1" applyBorder="1" applyAlignment="1" applyProtection="1">
      <alignment horizontal="left" vertical="center" wrapText="1"/>
      <protection locked="0"/>
    </xf>
    <xf numFmtId="14" fontId="53" fillId="0" borderId="56" xfId="21" applyNumberFormat="1" applyFont="1" applyFill="1" applyBorder="1" applyAlignment="1">
      <alignment horizontal="center" vertical="center" wrapText="1"/>
    </xf>
    <xf numFmtId="14" fontId="53" fillId="0" borderId="57" xfId="21" applyNumberFormat="1" applyFont="1" applyFill="1" applyBorder="1" applyAlignment="1">
      <alignment horizontal="center" vertical="center" wrapText="1"/>
    </xf>
    <xf numFmtId="0" fontId="53" fillId="0" borderId="59" xfId="21" applyFont="1" applyFill="1" applyBorder="1" applyAlignment="1" applyProtection="1">
      <alignment horizontal="center" vertical="center" wrapText="1"/>
      <protection locked="0"/>
    </xf>
    <xf numFmtId="0" fontId="53" fillId="0" borderId="58" xfId="21" applyFont="1" applyFill="1" applyBorder="1" applyAlignment="1" applyProtection="1">
      <alignment horizontal="center" vertical="center" wrapText="1"/>
      <protection locked="0"/>
    </xf>
    <xf numFmtId="3" fontId="53" fillId="6" borderId="76" xfId="21" applyNumberFormat="1" applyFont="1" applyFill="1" applyBorder="1" applyAlignment="1" applyProtection="1">
      <alignment horizontal="center" vertical="center" wrapText="1"/>
      <protection locked="0"/>
    </xf>
    <xf numFmtId="3" fontId="53" fillId="6" borderId="75" xfId="21" applyNumberFormat="1" applyFont="1" applyFill="1" applyBorder="1" applyAlignment="1" applyProtection="1">
      <alignment horizontal="center" vertical="center" wrapText="1"/>
      <protection locked="0"/>
    </xf>
    <xf numFmtId="0" fontId="53" fillId="14" borderId="93" xfId="21" applyFont="1" applyFill="1" applyBorder="1" applyAlignment="1" applyProtection="1">
      <alignment horizontal="center" vertical="center" wrapText="1"/>
      <protection locked="0"/>
    </xf>
    <xf numFmtId="0" fontId="53" fillId="14" borderId="90" xfId="21" applyFont="1" applyFill="1" applyBorder="1" applyAlignment="1" applyProtection="1">
      <alignment horizontal="center" vertical="center" wrapText="1"/>
      <protection locked="0"/>
    </xf>
    <xf numFmtId="9" fontId="53" fillId="14" borderId="91" xfId="21" applyNumberFormat="1" applyFont="1" applyFill="1" applyBorder="1" applyAlignment="1" applyProtection="1">
      <alignment horizontal="center" vertical="center" wrapText="1"/>
      <protection locked="0"/>
    </xf>
    <xf numFmtId="9" fontId="53" fillId="14" borderId="94" xfId="21" applyNumberFormat="1" applyFont="1" applyFill="1" applyBorder="1" applyAlignment="1" applyProtection="1">
      <alignment horizontal="center" vertical="center" wrapText="1"/>
      <protection locked="0"/>
    </xf>
    <xf numFmtId="9" fontId="53" fillId="14" borderId="95" xfId="21" applyNumberFormat="1" applyFont="1" applyFill="1" applyBorder="1" applyAlignment="1" applyProtection="1">
      <alignment horizontal="center" vertical="center" wrapText="1"/>
      <protection locked="0"/>
    </xf>
    <xf numFmtId="9" fontId="53" fillId="14" borderId="93" xfId="21" applyNumberFormat="1" applyFont="1" applyFill="1" applyBorder="1" applyAlignment="1" applyProtection="1">
      <alignment horizontal="center" vertical="center" wrapText="1"/>
      <protection locked="0"/>
    </xf>
    <xf numFmtId="0" fontId="53" fillId="14" borderId="96" xfId="21" applyFont="1" applyFill="1" applyBorder="1" applyAlignment="1" applyProtection="1">
      <alignment horizontal="center" vertical="center" wrapText="1"/>
      <protection locked="0"/>
    </xf>
    <xf numFmtId="0" fontId="53" fillId="14" borderId="91" xfId="21" applyFont="1" applyFill="1" applyBorder="1" applyAlignment="1" applyProtection="1">
      <alignment horizontal="center" vertical="center" wrapText="1"/>
      <protection locked="0"/>
    </xf>
    <xf numFmtId="0" fontId="53" fillId="14" borderId="62" xfId="21" applyFont="1" applyFill="1" applyBorder="1" applyAlignment="1" applyProtection="1">
      <alignment horizontal="center" vertical="center" wrapText="1"/>
      <protection locked="0"/>
    </xf>
    <xf numFmtId="0" fontId="53" fillId="14" borderId="56" xfId="21" applyFont="1" applyFill="1" applyBorder="1" applyAlignment="1" applyProtection="1">
      <alignment horizontal="center" vertical="center" wrapText="1"/>
      <protection locked="0"/>
    </xf>
    <xf numFmtId="0" fontId="53" fillId="14" borderId="92" xfId="21" applyFont="1" applyFill="1" applyBorder="1" applyAlignment="1" applyProtection="1">
      <alignment horizontal="left" vertical="center" wrapText="1"/>
      <protection locked="0"/>
    </xf>
    <xf numFmtId="0" fontId="53" fillId="2" borderId="59" xfId="46"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9" fontId="53" fillId="2" borderId="59" xfId="46" applyNumberFormat="1" applyFont="1" applyFill="1" applyBorder="1" applyAlignment="1" applyProtection="1">
      <alignment horizontal="center" vertical="center" wrapText="1"/>
      <protection locked="0"/>
    </xf>
    <xf numFmtId="3" fontId="53" fillId="6" borderId="56" xfId="46" applyNumberFormat="1" applyFont="1" applyFill="1" applyBorder="1" applyAlignment="1" applyProtection="1">
      <alignment horizontal="center" vertical="center" wrapText="1"/>
      <protection locked="0"/>
    </xf>
    <xf numFmtId="9" fontId="53" fillId="2" borderId="57"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3" fontId="53" fillId="2" borderId="60" xfId="46" applyNumberFormat="1" applyFont="1" applyFill="1" applyBorder="1" applyAlignment="1" applyProtection="1">
      <alignment horizontal="center" vertical="center" wrapText="1"/>
      <protection locked="0"/>
    </xf>
    <xf numFmtId="1" fontId="53" fillId="2" borderId="62" xfId="46" applyNumberFormat="1" applyFont="1" applyFill="1" applyBorder="1" applyAlignment="1" applyProtection="1">
      <alignment horizontal="center" vertical="center" wrapText="1"/>
      <protection locked="0"/>
    </xf>
    <xf numFmtId="0" fontId="53" fillId="2" borderId="57" xfId="46" applyFont="1" applyFill="1" applyBorder="1" applyAlignment="1" applyProtection="1">
      <alignment horizontal="center" vertical="center" wrapText="1"/>
      <protection locked="0"/>
    </xf>
    <xf numFmtId="0" fontId="53" fillId="2" borderId="59" xfId="46"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9" fontId="53" fillId="2" borderId="59" xfId="46" applyNumberFormat="1" applyFont="1" applyFill="1" applyBorder="1" applyAlignment="1" applyProtection="1">
      <alignment horizontal="center" vertical="center" wrapText="1"/>
      <protection locked="0"/>
    </xf>
    <xf numFmtId="3" fontId="53" fillId="6" borderId="56" xfId="46" applyNumberFormat="1" applyFont="1" applyFill="1" applyBorder="1" applyAlignment="1" applyProtection="1">
      <alignment horizontal="center" vertical="center" wrapText="1"/>
      <protection locked="0"/>
    </xf>
    <xf numFmtId="9" fontId="53" fillId="2" borderId="57" xfId="46" applyNumberFormat="1" applyFont="1" applyFill="1" applyBorder="1" applyAlignment="1" applyProtection="1">
      <alignment horizontal="center" vertical="center" wrapText="1"/>
      <protection locked="0"/>
    </xf>
    <xf numFmtId="14" fontId="53" fillId="2" borderId="56" xfId="46" applyNumberFormat="1" applyFont="1" applyFill="1" applyBorder="1" applyAlignment="1" applyProtection="1">
      <alignment horizontal="center" vertical="center" wrapText="1"/>
      <protection locked="0"/>
    </xf>
    <xf numFmtId="14" fontId="53" fillId="2" borderId="57" xfId="46" applyNumberFormat="1" applyFont="1" applyFill="1" applyBorder="1" applyAlignment="1" applyProtection="1">
      <alignment horizontal="center" vertical="center" wrapText="1"/>
      <protection locked="0"/>
    </xf>
    <xf numFmtId="3" fontId="53" fillId="2" borderId="56"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3" fontId="53" fillId="2" borderId="60" xfId="46" applyNumberFormat="1" applyFont="1" applyFill="1" applyBorder="1" applyAlignment="1" applyProtection="1">
      <alignment horizontal="center" vertical="center" wrapText="1"/>
      <protection locked="0"/>
    </xf>
    <xf numFmtId="1" fontId="53" fillId="2" borderId="62" xfId="46" applyNumberFormat="1" applyFont="1" applyFill="1" applyBorder="1" applyAlignment="1" applyProtection="1">
      <alignment horizontal="center" vertical="center" wrapText="1"/>
      <protection locked="0"/>
    </xf>
    <xf numFmtId="0" fontId="53" fillId="2" borderId="58" xfId="46" applyFont="1" applyFill="1" applyBorder="1" applyAlignment="1" applyProtection="1">
      <alignment horizontal="left" vertical="center" wrapText="1"/>
      <protection locked="0"/>
    </xf>
    <xf numFmtId="0" fontId="53" fillId="2" borderId="57" xfId="46" applyFont="1" applyFill="1" applyBorder="1" applyAlignment="1" applyProtection="1">
      <alignment horizontal="center" vertical="center" wrapText="1"/>
      <protection locked="0"/>
    </xf>
    <xf numFmtId="14" fontId="53" fillId="2" borderId="56" xfId="46" applyNumberFormat="1" applyFont="1" applyFill="1" applyBorder="1" applyAlignment="1" applyProtection="1">
      <alignment horizontal="center" vertical="center" wrapText="1"/>
      <protection locked="0"/>
    </xf>
    <xf numFmtId="0" fontId="53" fillId="2" borderId="59" xfId="46"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9" fontId="53" fillId="2" borderId="59" xfId="46" applyNumberFormat="1" applyFont="1" applyFill="1" applyBorder="1" applyAlignment="1" applyProtection="1">
      <alignment horizontal="center" vertical="center" wrapText="1"/>
      <protection locked="0"/>
    </xf>
    <xf numFmtId="9" fontId="53" fillId="2" borderId="57" xfId="46" applyNumberFormat="1" applyFont="1" applyFill="1" applyBorder="1" applyAlignment="1" applyProtection="1">
      <alignment horizontal="center" vertical="center" wrapText="1"/>
      <protection locked="0"/>
    </xf>
    <xf numFmtId="3" fontId="53" fillId="2" borderId="56"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3" fontId="53" fillId="2" borderId="60" xfId="46" applyNumberFormat="1" applyFont="1" applyFill="1" applyBorder="1" applyAlignment="1" applyProtection="1">
      <alignment horizontal="center" vertical="center" wrapText="1"/>
      <protection locked="0"/>
    </xf>
    <xf numFmtId="1" fontId="53" fillId="2" borderId="62" xfId="46" applyNumberFormat="1" applyFont="1" applyFill="1" applyBorder="1" applyAlignment="1" applyProtection="1">
      <alignment horizontal="center" vertical="center" wrapText="1"/>
      <protection locked="0"/>
    </xf>
    <xf numFmtId="0" fontId="53" fillId="2" borderId="57" xfId="46" applyFont="1" applyFill="1" applyBorder="1" applyAlignment="1" applyProtection="1">
      <alignment horizontal="center" vertical="center" wrapText="1"/>
      <protection locked="0"/>
    </xf>
    <xf numFmtId="165" fontId="0" fillId="2" borderId="56" xfId="4" applyFont="1" applyFill="1" applyBorder="1" applyAlignment="1">
      <alignment vertical="center"/>
    </xf>
    <xf numFmtId="9" fontId="17" fillId="2" borderId="58" xfId="4" applyNumberFormat="1" applyFill="1" applyBorder="1" applyAlignment="1">
      <alignment horizontal="left" vertical="center"/>
    </xf>
    <xf numFmtId="9" fontId="0" fillId="2" borderId="58" xfId="4" applyNumberFormat="1" applyFont="1" applyFill="1" applyBorder="1" applyAlignment="1">
      <alignment horizontal="left" vertical="center"/>
    </xf>
    <xf numFmtId="9" fontId="17" fillId="2" borderId="58" xfId="4" applyNumberFormat="1" applyFill="1" applyBorder="1" applyAlignment="1">
      <alignment horizontal="left" vertical="center" wrapText="1"/>
    </xf>
    <xf numFmtId="9" fontId="17" fillId="5" borderId="77" xfId="4" applyNumberFormat="1" applyFill="1" applyBorder="1" applyAlignment="1">
      <alignment horizontal="left" vertical="center" wrapText="1"/>
    </xf>
    <xf numFmtId="165" fontId="0" fillId="2" borderId="90" xfId="4" applyFont="1" applyFill="1" applyBorder="1" applyAlignment="1">
      <alignment vertical="center"/>
    </xf>
    <xf numFmtId="3" fontId="17" fillId="2" borderId="91" xfId="4" applyNumberFormat="1" applyFill="1" applyBorder="1" applyAlignment="1">
      <alignment horizontal="center" vertical="center"/>
    </xf>
    <xf numFmtId="9" fontId="17" fillId="2" borderId="93" xfId="4" applyNumberFormat="1" applyFill="1" applyBorder="1" applyAlignment="1">
      <alignment horizontal="center" vertical="center"/>
    </xf>
    <xf numFmtId="9" fontId="17" fillId="2" borderId="92" xfId="4" applyNumberFormat="1" applyFill="1" applyBorder="1" applyAlignment="1">
      <alignment horizontal="left" vertical="center"/>
    </xf>
    <xf numFmtId="165" fontId="18" fillId="5" borderId="120" xfId="4" applyFont="1" applyFill="1" applyBorder="1" applyAlignment="1">
      <alignment horizontal="center" vertical="center"/>
    </xf>
    <xf numFmtId="165" fontId="18" fillId="5" borderId="130" xfId="4" applyFont="1" applyFill="1" applyBorder="1" applyAlignment="1">
      <alignment horizontal="center" vertical="center"/>
    </xf>
    <xf numFmtId="165" fontId="18" fillId="5" borderId="121" xfId="4" applyFont="1" applyFill="1" applyBorder="1" applyAlignment="1">
      <alignment horizontal="center" vertical="center"/>
    </xf>
    <xf numFmtId="165" fontId="65" fillId="2" borderId="92" xfId="4" applyFont="1" applyFill="1" applyBorder="1" applyAlignment="1">
      <alignment vertical="center" wrapText="1"/>
    </xf>
    <xf numFmtId="165" fontId="66" fillId="2" borderId="76" xfId="4" applyFont="1" applyFill="1" applyBorder="1" applyAlignment="1">
      <alignment horizontal="center" vertical="center"/>
    </xf>
    <xf numFmtId="165" fontId="38" fillId="5" borderId="122" xfId="4" applyFont="1" applyFill="1" applyBorder="1" applyAlignment="1">
      <alignment horizontal="center" vertical="center"/>
    </xf>
    <xf numFmtId="3" fontId="18" fillId="5" borderId="120" xfId="4" applyNumberFormat="1" applyFont="1" applyFill="1" applyBorder="1" applyAlignment="1">
      <alignment horizontal="center" vertical="center"/>
    </xf>
    <xf numFmtId="165" fontId="18" fillId="5" borderId="120" xfId="4" applyFont="1" applyFill="1" applyBorder="1" applyAlignment="1">
      <alignment horizontal="center" vertical="center" wrapText="1"/>
    </xf>
    <xf numFmtId="0" fontId="9" fillId="2" borderId="132" xfId="0" applyFont="1" applyFill="1" applyBorder="1" applyAlignment="1">
      <alignment vertical="center" wrapText="1"/>
    </xf>
    <xf numFmtId="9" fontId="17" fillId="2" borderId="84" xfId="4" applyNumberFormat="1" applyFill="1" applyBorder="1" applyAlignment="1">
      <alignment horizontal="center" vertical="center"/>
    </xf>
    <xf numFmtId="165" fontId="17" fillId="2" borderId="84" xfId="4" applyFill="1" applyBorder="1" applyAlignment="1">
      <alignment horizontal="center" vertical="center"/>
    </xf>
    <xf numFmtId="165" fontId="17" fillId="2" borderId="119" xfId="4" applyFill="1" applyBorder="1" applyAlignment="1">
      <alignment vertical="center" wrapText="1"/>
    </xf>
    <xf numFmtId="165" fontId="66" fillId="2" borderId="90" xfId="4" applyFont="1" applyFill="1" applyBorder="1" applyAlignment="1">
      <alignment horizontal="right" vertical="center" wrapText="1"/>
    </xf>
    <xf numFmtId="165" fontId="38" fillId="5" borderId="135" xfId="4" applyFont="1" applyFill="1" applyBorder="1" applyAlignment="1">
      <alignment horizontal="center" vertical="center"/>
    </xf>
    <xf numFmtId="3" fontId="18" fillId="5" borderId="136" xfId="4" applyNumberFormat="1" applyFont="1" applyFill="1" applyBorder="1" applyAlignment="1">
      <alignment horizontal="center" vertical="center"/>
    </xf>
    <xf numFmtId="165" fontId="18" fillId="5" borderId="136" xfId="4" applyFont="1" applyFill="1" applyBorder="1" applyAlignment="1">
      <alignment horizontal="center" vertical="center"/>
    </xf>
    <xf numFmtId="165" fontId="18" fillId="5" borderId="136" xfId="4" applyFont="1" applyFill="1" applyBorder="1" applyAlignment="1">
      <alignment horizontal="center" vertical="center" wrapText="1"/>
    </xf>
    <xf numFmtId="165" fontId="18" fillId="5" borderId="137" xfId="4" applyFont="1" applyFill="1" applyBorder="1" applyAlignment="1">
      <alignment horizontal="center" vertical="center"/>
    </xf>
    <xf numFmtId="3" fontId="17" fillId="2" borderId="84" xfId="4" applyNumberFormat="1" applyFill="1" applyBorder="1" applyAlignment="1">
      <alignment horizontal="center" vertical="center"/>
    </xf>
    <xf numFmtId="3" fontId="66" fillId="2" borderId="91" xfId="4" applyNumberFormat="1" applyFont="1" applyFill="1" applyBorder="1" applyAlignment="1">
      <alignment horizontal="center" vertical="center"/>
    </xf>
    <xf numFmtId="3" fontId="66" fillId="2" borderId="76" xfId="4" applyNumberFormat="1" applyFont="1" applyFill="1" applyBorder="1" applyAlignment="1">
      <alignment horizontal="center" vertical="center"/>
    </xf>
    <xf numFmtId="165" fontId="66" fillId="2" borderId="138" xfId="4" applyFont="1" applyFill="1" applyBorder="1" applyAlignment="1">
      <alignment horizontal="right" vertical="center" wrapText="1"/>
    </xf>
    <xf numFmtId="3" fontId="66" fillId="2" borderId="133" xfId="4" applyNumberFormat="1" applyFont="1" applyFill="1" applyBorder="1" applyAlignment="1">
      <alignment horizontal="center" vertical="center"/>
    </xf>
    <xf numFmtId="9" fontId="66" fillId="2" borderId="133" xfId="4" applyNumberFormat="1" applyFont="1" applyFill="1" applyBorder="1" applyAlignment="1">
      <alignment horizontal="center" vertical="center"/>
    </xf>
    <xf numFmtId="165" fontId="66" fillId="2" borderId="133" xfId="4" applyFont="1" applyFill="1" applyBorder="1" applyAlignment="1">
      <alignment horizontal="center" vertical="center"/>
    </xf>
    <xf numFmtId="165" fontId="65" fillId="2" borderId="134" xfId="4" applyFont="1" applyFill="1" applyBorder="1" applyAlignment="1">
      <alignment vertical="center" wrapText="1"/>
    </xf>
    <xf numFmtId="165" fontId="66" fillId="2" borderId="56" xfId="4" applyFont="1" applyFill="1" applyBorder="1" applyAlignment="1">
      <alignment horizontal="right" vertical="center" wrapText="1"/>
    </xf>
    <xf numFmtId="3" fontId="66" fillId="2" borderId="57" xfId="4" applyNumberFormat="1" applyFont="1" applyFill="1" applyBorder="1" applyAlignment="1">
      <alignment horizontal="center" vertical="center"/>
    </xf>
    <xf numFmtId="9" fontId="66" fillId="2" borderId="57" xfId="4" applyNumberFormat="1" applyFont="1" applyFill="1" applyBorder="1" applyAlignment="1">
      <alignment horizontal="center" vertical="center"/>
    </xf>
    <xf numFmtId="165" fontId="66" fillId="2" borderId="57" xfId="4" applyFont="1" applyFill="1" applyBorder="1" applyAlignment="1">
      <alignment horizontal="center" vertical="center"/>
    </xf>
    <xf numFmtId="165" fontId="65" fillId="2" borderId="58" xfId="4" applyFont="1" applyFill="1" applyBorder="1" applyAlignment="1">
      <alignment vertical="center" wrapText="1"/>
    </xf>
    <xf numFmtId="165" fontId="18" fillId="5" borderId="75" xfId="4" applyFont="1" applyFill="1" applyBorder="1" applyAlignment="1">
      <alignment vertical="center"/>
    </xf>
    <xf numFmtId="3" fontId="18" fillId="5" borderId="76" xfId="4" applyNumberFormat="1" applyFont="1" applyFill="1" applyBorder="1" applyAlignment="1">
      <alignment horizontal="center" vertical="center"/>
    </xf>
    <xf numFmtId="3" fontId="77" fillId="5" borderId="76" xfId="4" applyNumberFormat="1" applyFont="1" applyFill="1" applyBorder="1" applyAlignment="1">
      <alignment horizontal="center" vertical="center"/>
    </xf>
    <xf numFmtId="9" fontId="18" fillId="5" borderId="76" xfId="4" applyNumberFormat="1" applyFont="1" applyFill="1" applyBorder="1" applyAlignment="1">
      <alignment horizontal="center" vertical="center"/>
    </xf>
    <xf numFmtId="3" fontId="17" fillId="2" borderId="59" xfId="4" applyNumberFormat="1" applyFill="1" applyBorder="1" applyAlignment="1">
      <alignment horizontal="center" vertical="center"/>
    </xf>
    <xf numFmtId="3" fontId="46" fillId="2" borderId="59" xfId="4" applyNumberFormat="1" applyFont="1" applyFill="1" applyBorder="1" applyAlignment="1">
      <alignment horizontal="center" vertical="center"/>
    </xf>
    <xf numFmtId="9" fontId="0" fillId="2" borderId="59" xfId="4" applyNumberFormat="1" applyFont="1" applyFill="1" applyBorder="1" applyAlignment="1">
      <alignment horizontal="center" vertical="center"/>
    </xf>
    <xf numFmtId="165" fontId="17" fillId="2" borderId="63" xfId="4" applyFill="1" applyBorder="1" applyAlignment="1">
      <alignment vertical="center"/>
    </xf>
    <xf numFmtId="3" fontId="66" fillId="2" borderId="83" xfId="4" applyNumberFormat="1" applyFont="1" applyFill="1" applyBorder="1" applyAlignment="1">
      <alignment horizontal="center" vertical="center"/>
    </xf>
    <xf numFmtId="165" fontId="66" fillId="2" borderId="83" xfId="4" applyFont="1" applyFill="1" applyBorder="1" applyAlignment="1">
      <alignment horizontal="center" vertical="center"/>
    </xf>
    <xf numFmtId="165" fontId="17" fillId="2" borderId="140" xfId="4" applyFill="1" applyBorder="1" applyAlignment="1">
      <alignment vertical="center"/>
    </xf>
    <xf numFmtId="165" fontId="17" fillId="2" borderId="141" xfId="4" applyFill="1" applyBorder="1" applyAlignment="1">
      <alignment vertical="center"/>
    </xf>
    <xf numFmtId="165" fontId="17" fillId="2" borderId="139" xfId="4" applyFill="1" applyBorder="1" applyAlignment="1">
      <alignment vertical="center"/>
    </xf>
    <xf numFmtId="165" fontId="17" fillId="2" borderId="58" xfId="4" applyFill="1" applyBorder="1" applyAlignment="1">
      <alignment vertical="center"/>
    </xf>
    <xf numFmtId="165" fontId="17" fillId="2" borderId="77" xfId="4" applyFill="1" applyBorder="1" applyAlignment="1">
      <alignment vertical="center"/>
    </xf>
    <xf numFmtId="0" fontId="53" fillId="2" borderId="67" xfId="21" applyFont="1" applyFill="1" applyBorder="1" applyAlignment="1" applyProtection="1">
      <alignment horizontal="center" vertical="center" wrapText="1"/>
      <protection locked="0"/>
    </xf>
    <xf numFmtId="0" fontId="53" fillId="2" borderId="86" xfId="21" applyFont="1" applyFill="1" applyBorder="1" applyAlignment="1" applyProtection="1">
      <alignment horizontal="center" vertical="center" wrapText="1"/>
      <protection locked="0"/>
    </xf>
    <xf numFmtId="0" fontId="53" fillId="2" borderId="68" xfId="21" applyFont="1" applyFill="1" applyBorder="1" applyAlignment="1" applyProtection="1">
      <alignment horizontal="center" vertical="center" wrapText="1"/>
      <protection locked="0"/>
    </xf>
    <xf numFmtId="0" fontId="53" fillId="2" borderId="85" xfId="21" applyFont="1" applyFill="1" applyBorder="1" applyAlignment="1" applyProtection="1">
      <alignment horizontal="center" vertical="center" wrapText="1"/>
      <protection locked="0"/>
    </xf>
    <xf numFmtId="0" fontId="53" fillId="2" borderId="87" xfId="21" applyFont="1" applyFill="1" applyBorder="1" applyAlignment="1" applyProtection="1">
      <alignment horizontal="center" vertical="center" wrapText="1"/>
      <protection locked="0"/>
    </xf>
    <xf numFmtId="9" fontId="53" fillId="2" borderId="59" xfId="23" applyNumberFormat="1" applyFont="1" applyFill="1" applyBorder="1" applyAlignment="1" applyProtection="1">
      <alignment horizontal="center" vertical="center" wrapText="1"/>
      <protection locked="0"/>
    </xf>
    <xf numFmtId="0" fontId="0" fillId="0" borderId="0" xfId="0" applyNumberFormat="1"/>
    <xf numFmtId="0" fontId="53" fillId="2" borderId="59" xfId="49" applyFont="1" applyFill="1" applyBorder="1" applyAlignment="1" applyProtection="1">
      <alignment horizontal="center" vertical="center" wrapText="1"/>
      <protection locked="0"/>
    </xf>
    <xf numFmtId="0" fontId="53" fillId="2" borderId="56" xfId="49" applyFont="1" applyFill="1" applyBorder="1" applyAlignment="1" applyProtection="1">
      <alignment horizontal="center" vertical="center" wrapText="1"/>
      <protection locked="0"/>
    </xf>
    <xf numFmtId="9" fontId="53" fillId="2" borderId="61" xfId="49" applyNumberFormat="1" applyFont="1" applyFill="1" applyBorder="1" applyAlignment="1" applyProtection="1">
      <alignment horizontal="center" vertical="center" wrapText="1"/>
      <protection locked="0"/>
    </xf>
    <xf numFmtId="9" fontId="53" fillId="2" borderId="59" xfId="49" applyNumberFormat="1" applyFont="1" applyFill="1" applyBorder="1" applyAlignment="1" applyProtection="1">
      <alignment horizontal="center" vertical="center" wrapText="1"/>
      <protection locked="0"/>
    </xf>
    <xf numFmtId="0" fontId="53" fillId="2" borderId="61" xfId="49" applyFont="1" applyFill="1" applyBorder="1" applyAlignment="1" applyProtection="1">
      <alignment horizontal="center" vertical="center" wrapText="1"/>
      <protection locked="0"/>
    </xf>
    <xf numFmtId="0" fontId="53" fillId="2" borderId="57" xfId="49" applyFont="1" applyFill="1" applyBorder="1" applyAlignment="1" applyProtection="1">
      <alignment horizontal="center" vertical="center" wrapText="1"/>
      <protection locked="0"/>
    </xf>
    <xf numFmtId="0" fontId="53" fillId="2" borderId="60" xfId="49" applyFont="1" applyFill="1" applyBorder="1" applyAlignment="1" applyProtection="1">
      <alignment horizontal="center" vertical="center" wrapText="1"/>
      <protection locked="0"/>
    </xf>
    <xf numFmtId="0" fontId="53" fillId="2" borderId="62" xfId="49" applyFont="1" applyFill="1" applyBorder="1" applyAlignment="1" applyProtection="1">
      <alignment horizontal="center" vertical="center" wrapText="1"/>
      <protection locked="0"/>
    </xf>
    <xf numFmtId="3" fontId="53" fillId="6" borderId="56" xfId="49" applyNumberFormat="1" applyFont="1" applyFill="1" applyBorder="1" applyAlignment="1" applyProtection="1">
      <alignment horizontal="center" vertical="center" wrapText="1"/>
      <protection locked="0"/>
    </xf>
    <xf numFmtId="9" fontId="53" fillId="2" borderId="57" xfId="49" applyNumberFormat="1" applyFont="1" applyFill="1" applyBorder="1" applyAlignment="1" applyProtection="1">
      <alignment horizontal="center" vertical="center" wrapText="1"/>
      <protection locked="0"/>
    </xf>
    <xf numFmtId="9" fontId="53" fillId="2" borderId="60" xfId="49" applyNumberFormat="1" applyFont="1" applyFill="1" applyBorder="1" applyAlignment="1" applyProtection="1">
      <alignment horizontal="center" vertical="center" wrapText="1"/>
      <protection locked="0"/>
    </xf>
    <xf numFmtId="14" fontId="53" fillId="2" borderId="67" xfId="49" applyNumberFormat="1" applyFont="1" applyFill="1" applyBorder="1" applyAlignment="1" applyProtection="1">
      <alignment horizontal="center" vertical="center" wrapText="1"/>
      <protection locked="0"/>
    </xf>
    <xf numFmtId="14" fontId="53" fillId="2" borderId="68" xfId="49" applyNumberFormat="1" applyFont="1" applyFill="1" applyBorder="1" applyAlignment="1" applyProtection="1">
      <alignment horizontal="center" vertical="center" wrapText="1"/>
      <protection locked="0"/>
    </xf>
    <xf numFmtId="0" fontId="53" fillId="2" borderId="69" xfId="49" applyFont="1" applyFill="1" applyBorder="1" applyAlignment="1" applyProtection="1">
      <alignment horizontal="center" vertical="center" wrapText="1"/>
      <protection locked="0"/>
    </xf>
    <xf numFmtId="0" fontId="53" fillId="2" borderId="59" xfId="49" applyFont="1" applyFill="1" applyBorder="1" applyAlignment="1" applyProtection="1">
      <alignment horizontal="left" vertical="center" wrapText="1"/>
      <protection locked="0"/>
    </xf>
    <xf numFmtId="9" fontId="53" fillId="2" borderId="57" xfId="52" applyNumberFormat="1" applyFont="1" applyFill="1" applyBorder="1" applyAlignment="1" applyProtection="1">
      <alignment horizontal="center" vertical="center" wrapText="1"/>
      <protection locked="0"/>
    </xf>
    <xf numFmtId="9" fontId="53" fillId="2" borderId="59" xfId="52" applyNumberFormat="1" applyFont="1" applyFill="1" applyBorder="1" applyAlignment="1" applyProtection="1">
      <alignment horizontal="center" vertical="center" wrapText="1"/>
      <protection locked="0"/>
    </xf>
    <xf numFmtId="0" fontId="59" fillId="6" borderId="56" xfId="52" applyFont="1" applyFill="1" applyBorder="1" applyAlignment="1" applyProtection="1">
      <alignment horizontal="left" vertical="center" wrapText="1"/>
      <protection locked="0"/>
    </xf>
    <xf numFmtId="0" fontId="53" fillId="2" borderId="62" xfId="52" applyFont="1" applyFill="1" applyBorder="1" applyAlignment="1" applyProtection="1">
      <alignment horizontal="center" vertical="center" wrapText="1"/>
      <protection locked="0"/>
    </xf>
    <xf numFmtId="0" fontId="53" fillId="2" borderId="63" xfId="52" applyFont="1" applyFill="1" applyBorder="1" applyAlignment="1" applyProtection="1">
      <alignment horizontal="center" vertical="center" wrapText="1"/>
      <protection locked="0"/>
    </xf>
    <xf numFmtId="9" fontId="53" fillId="2" borderId="57" xfId="52" applyNumberFormat="1" applyFont="1" applyFill="1" applyBorder="1" applyAlignment="1" applyProtection="1">
      <alignment horizontal="center" vertical="center" wrapText="1"/>
      <protection locked="0"/>
    </xf>
    <xf numFmtId="9" fontId="53" fillId="2" borderId="60" xfId="52" applyNumberFormat="1" applyFont="1" applyFill="1" applyBorder="1" applyAlignment="1" applyProtection="1">
      <alignment horizontal="center" vertical="center" wrapText="1"/>
      <protection locked="0"/>
    </xf>
    <xf numFmtId="9" fontId="53" fillId="2" borderId="61" xfId="52" applyNumberFormat="1" applyFont="1" applyFill="1" applyBorder="1" applyAlignment="1" applyProtection="1">
      <alignment horizontal="center" vertical="center" wrapText="1"/>
      <protection locked="0"/>
    </xf>
    <xf numFmtId="9" fontId="53" fillId="2" borderId="59" xfId="52" applyNumberFormat="1" applyFont="1" applyFill="1" applyBorder="1" applyAlignment="1" applyProtection="1">
      <alignment horizontal="center" vertical="center" wrapText="1"/>
      <protection locked="0"/>
    </xf>
    <xf numFmtId="0" fontId="53" fillId="2" borderId="57" xfId="52" applyFont="1" applyFill="1" applyBorder="1" applyAlignment="1" applyProtection="1">
      <alignment horizontal="center" vertical="center" wrapText="1"/>
      <protection locked="0"/>
    </xf>
    <xf numFmtId="0" fontId="53" fillId="2" borderId="59" xfId="52" applyFont="1" applyFill="1" applyBorder="1" applyAlignment="1" applyProtection="1">
      <alignment horizontal="center" vertical="center" wrapText="1"/>
      <protection locked="0"/>
    </xf>
    <xf numFmtId="3" fontId="53" fillId="6" borderId="56" xfId="52" applyNumberFormat="1" applyFont="1" applyFill="1" applyBorder="1" applyAlignment="1" applyProtection="1">
      <alignment horizontal="center" vertical="center" wrapText="1"/>
      <protection locked="0"/>
    </xf>
    <xf numFmtId="0" fontId="53" fillId="6" borderId="57" xfId="52" applyFont="1" applyFill="1" applyBorder="1" applyAlignment="1" applyProtection="1">
      <alignment horizontal="center" vertical="center" wrapText="1"/>
      <protection locked="0"/>
    </xf>
    <xf numFmtId="0" fontId="59" fillId="6" borderId="57" xfId="52" applyFont="1" applyFill="1" applyBorder="1" applyAlignment="1" applyProtection="1">
      <alignment horizontal="center" vertical="center" wrapText="1"/>
      <protection locked="0"/>
    </xf>
    <xf numFmtId="0" fontId="53" fillId="2" borderId="61" xfId="52" applyFont="1" applyFill="1" applyBorder="1" applyAlignment="1" applyProtection="1">
      <alignment horizontal="center" vertical="center" wrapText="1"/>
      <protection locked="0"/>
    </xf>
    <xf numFmtId="0" fontId="53" fillId="2" borderId="60" xfId="52" applyFont="1" applyFill="1" applyBorder="1" applyAlignment="1" applyProtection="1">
      <alignment horizontal="center" vertical="center" wrapText="1"/>
      <protection locked="0"/>
    </xf>
    <xf numFmtId="14" fontId="53" fillId="2" borderId="67" xfId="52" applyNumberFormat="1" applyFont="1" applyFill="1" applyBorder="1" applyAlignment="1" applyProtection="1">
      <alignment horizontal="center" vertical="center" wrapText="1"/>
      <protection locked="0"/>
    </xf>
    <xf numFmtId="14" fontId="53" fillId="2" borderId="68" xfId="52" applyNumberFormat="1" applyFont="1" applyFill="1" applyBorder="1" applyAlignment="1" applyProtection="1">
      <alignment horizontal="center" vertical="center" wrapText="1"/>
      <protection locked="0"/>
    </xf>
    <xf numFmtId="0" fontId="53" fillId="2" borderId="59" xfId="52" applyFont="1" applyFill="1" applyBorder="1" applyAlignment="1" applyProtection="1">
      <alignment horizontal="left" vertical="center" wrapText="1"/>
      <protection locked="0"/>
    </xf>
    <xf numFmtId="0" fontId="48" fillId="0" borderId="84" xfId="0" applyFont="1" applyFill="1" applyBorder="1" applyAlignment="1" applyProtection="1">
      <alignment horizontal="center" vertical="center" wrapText="1"/>
      <protection locked="0"/>
    </xf>
    <xf numFmtId="3" fontId="26" fillId="13" borderId="129" xfId="0" applyNumberFormat="1" applyFont="1" applyFill="1" applyBorder="1" applyAlignment="1" applyProtection="1">
      <alignment horizontal="center" vertical="center" wrapText="1"/>
      <protection locked="0"/>
    </xf>
    <xf numFmtId="3" fontId="26" fillId="3" borderId="131" xfId="0" applyNumberFormat="1" applyFont="1" applyFill="1" applyBorder="1" applyAlignment="1" applyProtection="1">
      <alignment horizontal="center" vertical="center" wrapText="1"/>
    </xf>
    <xf numFmtId="9" fontId="48" fillId="0" borderId="122" xfId="0" applyNumberFormat="1" applyFont="1" applyFill="1" applyBorder="1" applyAlignment="1">
      <alignment horizontal="center" vertical="center"/>
    </xf>
    <xf numFmtId="9" fontId="48" fillId="0" borderId="121" xfId="0" applyNumberFormat="1" applyFont="1" applyFill="1" applyBorder="1" applyAlignment="1">
      <alignment horizontal="center" vertical="center"/>
    </xf>
    <xf numFmtId="169" fontId="48" fillId="0" borderId="122" xfId="0" applyNumberFormat="1" applyFont="1" applyFill="1" applyBorder="1" applyAlignment="1">
      <alignment horizontal="center" vertical="center"/>
    </xf>
    <xf numFmtId="14" fontId="60" fillId="0" borderId="68" xfId="21" applyNumberFormat="1" applyFont="1" applyFill="1" applyBorder="1" applyAlignment="1" applyProtection="1">
      <alignment horizontal="center" vertical="center" wrapText="1"/>
      <protection locked="0"/>
    </xf>
    <xf numFmtId="0" fontId="60" fillId="0" borderId="69" xfId="21" applyFont="1" applyFill="1" applyBorder="1" applyAlignment="1" applyProtection="1">
      <alignment horizontal="center" vertical="center" wrapText="1"/>
      <protection locked="0"/>
    </xf>
    <xf numFmtId="14" fontId="60" fillId="0" borderId="67" xfId="21" applyNumberFormat="1" applyFont="1" applyFill="1" applyBorder="1" applyAlignment="1" applyProtection="1">
      <alignment horizontal="center" vertical="center" wrapText="1"/>
      <protection locked="0"/>
    </xf>
    <xf numFmtId="14" fontId="53" fillId="0" borderId="57" xfId="21" applyNumberFormat="1" applyFont="1" applyFill="1" applyBorder="1" applyAlignment="1" applyProtection="1">
      <alignment horizontal="center" vertical="center" wrapText="1"/>
      <protection locked="0"/>
    </xf>
    <xf numFmtId="9" fontId="53" fillId="0" borderId="57" xfId="21" applyNumberFormat="1" applyFont="1" applyFill="1" applyBorder="1" applyAlignment="1" applyProtection="1">
      <alignment horizontal="center" vertical="center" wrapText="1"/>
      <protection locked="0"/>
    </xf>
    <xf numFmtId="9" fontId="53" fillId="0" borderId="59" xfId="21"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protection locked="0"/>
    </xf>
    <xf numFmtId="0" fontId="19" fillId="14" borderId="0" xfId="0" applyFont="1" applyFill="1" applyBorder="1" applyAlignment="1" applyProtection="1">
      <alignment horizontal="center"/>
      <protection locked="0"/>
    </xf>
    <xf numFmtId="0" fontId="29" fillId="14" borderId="47" xfId="0" applyFont="1" applyFill="1" applyBorder="1" applyAlignment="1" applyProtection="1">
      <alignment horizontal="center" vertical="center" wrapText="1"/>
    </xf>
    <xf numFmtId="3" fontId="26" fillId="3" borderId="119" xfId="0" applyNumberFormat="1" applyFont="1" applyFill="1" applyBorder="1" applyAlignment="1" applyProtection="1">
      <alignment horizontal="center" vertical="center" wrapText="1"/>
      <protection locked="0"/>
    </xf>
    <xf numFmtId="0" fontId="24" fillId="5" borderId="142" xfId="0" applyFont="1" applyFill="1" applyBorder="1" applyAlignment="1" applyProtection="1">
      <alignment horizontal="center" vertical="center"/>
      <protection locked="0"/>
    </xf>
    <xf numFmtId="0" fontId="21" fillId="7" borderId="143" xfId="0" applyFont="1" applyFill="1" applyBorder="1" applyAlignment="1" applyProtection="1">
      <alignment horizontal="center" vertical="center" wrapText="1"/>
    </xf>
    <xf numFmtId="164" fontId="72" fillId="5" borderId="144" xfId="1" applyNumberFormat="1" applyFont="1" applyFill="1" applyBorder="1" applyAlignment="1" applyProtection="1">
      <alignment horizontal="center" vertical="center"/>
      <protection locked="0"/>
    </xf>
    <xf numFmtId="0" fontId="48" fillId="0" borderId="130" xfId="0" applyFont="1" applyFill="1" applyBorder="1" applyAlignment="1">
      <alignment horizontal="center" vertical="center"/>
    </xf>
    <xf numFmtId="0" fontId="74" fillId="0" borderId="131" xfId="0" applyFont="1" applyFill="1" applyBorder="1" applyAlignment="1" applyProtection="1">
      <alignment horizontal="center" vertical="center" wrapText="1"/>
      <protection locked="0"/>
    </xf>
    <xf numFmtId="0" fontId="48" fillId="0" borderId="131" xfId="0" applyFont="1" applyFill="1" applyBorder="1" applyAlignment="1">
      <alignment horizontal="center" vertical="center"/>
    </xf>
    <xf numFmtId="169" fontId="48" fillId="0" borderId="145" xfId="0" applyNumberFormat="1" applyFont="1" applyFill="1" applyBorder="1" applyAlignment="1">
      <alignment horizontal="center" vertical="center"/>
    </xf>
    <xf numFmtId="169" fontId="74" fillId="0" borderId="146" xfId="0" applyNumberFormat="1" applyFont="1" applyFill="1" applyBorder="1" applyAlignment="1" applyProtection="1">
      <alignment horizontal="center" vertical="center" wrapText="1"/>
      <protection locked="0"/>
    </xf>
    <xf numFmtId="169" fontId="48" fillId="0" borderId="146" xfId="0" applyNumberFormat="1" applyFont="1" applyFill="1" applyBorder="1" applyAlignment="1">
      <alignment horizontal="center" vertical="center"/>
    </xf>
    <xf numFmtId="9" fontId="48" fillId="0" borderId="145" xfId="0" applyNumberFormat="1" applyFont="1" applyFill="1" applyBorder="1" applyAlignment="1">
      <alignment horizontal="center" vertical="center"/>
    </xf>
    <xf numFmtId="9" fontId="74" fillId="0" borderId="146" xfId="0" applyNumberFormat="1" applyFont="1" applyFill="1" applyBorder="1" applyAlignment="1" applyProtection="1">
      <alignment horizontal="center" vertical="center" wrapText="1"/>
      <protection locked="0"/>
    </xf>
    <xf numFmtId="9" fontId="48" fillId="0" borderId="146" xfId="0" applyNumberFormat="1" applyFont="1" applyFill="1" applyBorder="1" applyAlignment="1">
      <alignment horizontal="center" vertical="center"/>
    </xf>
    <xf numFmtId="3" fontId="17" fillId="2" borderId="76" xfId="4" applyNumberFormat="1" applyFill="1" applyBorder="1" applyAlignment="1">
      <alignment horizontal="center" vertical="center"/>
    </xf>
    <xf numFmtId="3" fontId="46" fillId="2" borderId="78" xfId="4" applyNumberFormat="1" applyFont="1" applyFill="1" applyBorder="1" applyAlignment="1">
      <alignment horizontal="center" vertical="center"/>
    </xf>
    <xf numFmtId="9" fontId="0" fillId="2" borderId="78" xfId="4" applyNumberFormat="1" applyFont="1" applyFill="1" applyBorder="1" applyAlignment="1">
      <alignment horizontal="center" vertical="center"/>
    </xf>
    <xf numFmtId="9" fontId="17" fillId="2" borderId="77" xfId="4" applyNumberFormat="1" applyFill="1" applyBorder="1" applyAlignment="1">
      <alignment horizontal="left" vertical="center" wrapText="1"/>
    </xf>
    <xf numFmtId="3" fontId="17" fillId="2" borderId="93" xfId="4" applyNumberFormat="1" applyFill="1" applyBorder="1" applyAlignment="1">
      <alignment horizontal="center" vertical="center"/>
    </xf>
    <xf numFmtId="9" fontId="0" fillId="2" borderId="93" xfId="4" applyNumberFormat="1" applyFont="1" applyFill="1" applyBorder="1" applyAlignment="1">
      <alignment horizontal="center" vertical="center"/>
    </xf>
    <xf numFmtId="3" fontId="18" fillId="2" borderId="150" xfId="4" applyNumberFormat="1" applyFont="1" applyFill="1" applyBorder="1" applyAlignment="1">
      <alignment horizontal="center" vertical="center"/>
    </xf>
    <xf numFmtId="3" fontId="77" fillId="2" borderId="150" xfId="4" applyNumberFormat="1" applyFont="1" applyFill="1" applyBorder="1" applyAlignment="1">
      <alignment horizontal="center" vertical="center"/>
    </xf>
    <xf numFmtId="9" fontId="18" fillId="2" borderId="150" xfId="4" applyNumberFormat="1" applyFont="1" applyFill="1" applyBorder="1" applyAlignment="1">
      <alignment horizontal="center" vertical="center"/>
    </xf>
    <xf numFmtId="0" fontId="18" fillId="5" borderId="151" xfId="0" applyFont="1" applyFill="1" applyBorder="1" applyAlignment="1">
      <alignment horizontal="center" vertical="center" wrapText="1"/>
    </xf>
    <xf numFmtId="0" fontId="18" fillId="5" borderId="152" xfId="0" applyFont="1" applyFill="1" applyBorder="1" applyAlignment="1">
      <alignment horizontal="center" vertical="center" wrapText="1"/>
    </xf>
    <xf numFmtId="0" fontId="77" fillId="5" borderId="152" xfId="0" applyFont="1" applyFill="1" applyBorder="1" applyAlignment="1">
      <alignment horizontal="center" vertical="center" wrapText="1"/>
    </xf>
    <xf numFmtId="9" fontId="18" fillId="2" borderId="154" xfId="4" applyNumberFormat="1" applyFont="1" applyFill="1" applyBorder="1" applyAlignment="1">
      <alignment horizontal="left" vertical="center" wrapText="1"/>
    </xf>
    <xf numFmtId="165" fontId="18" fillId="5" borderId="153" xfId="4" applyFont="1" applyFill="1" applyBorder="1" applyAlignment="1">
      <alignment horizontal="center" vertical="center"/>
    </xf>
    <xf numFmtId="9" fontId="77" fillId="2" borderId="150" xfId="4" applyNumberFormat="1" applyFont="1" applyFill="1" applyBorder="1" applyAlignment="1">
      <alignment horizontal="center" vertical="center"/>
    </xf>
    <xf numFmtId="9" fontId="0" fillId="2" borderId="76" xfId="4" applyNumberFormat="1" applyFont="1" applyFill="1" applyBorder="1" applyAlignment="1">
      <alignment horizontal="center" vertical="center"/>
    </xf>
    <xf numFmtId="0" fontId="0" fillId="2" borderId="120" xfId="0" applyFill="1" applyBorder="1" applyAlignment="1">
      <alignment horizontal="center" vertical="center" wrapText="1"/>
    </xf>
    <xf numFmtId="165" fontId="18" fillId="2" borderId="155" xfId="4" applyFont="1" applyFill="1" applyBorder="1" applyAlignment="1">
      <alignment horizontal="center" vertical="center"/>
    </xf>
    <xf numFmtId="3" fontId="18" fillId="2" borderId="156" xfId="4" applyNumberFormat="1" applyFont="1" applyFill="1" applyBorder="1" applyAlignment="1">
      <alignment horizontal="center" vertical="center"/>
    </xf>
    <xf numFmtId="165" fontId="17" fillId="2" borderId="157" xfId="4" applyFill="1" applyBorder="1" applyAlignment="1">
      <alignment vertical="center" wrapText="1"/>
    </xf>
    <xf numFmtId="0" fontId="9" fillId="2" borderId="159" xfId="0" applyFont="1" applyFill="1" applyBorder="1" applyAlignment="1">
      <alignment vertical="center" wrapText="1"/>
    </xf>
    <xf numFmtId="3" fontId="17" fillId="2" borderId="156" xfId="4" applyNumberFormat="1" applyFill="1" applyBorder="1" applyAlignment="1">
      <alignment horizontal="center" vertical="center"/>
    </xf>
    <xf numFmtId="165" fontId="38" fillId="5" borderId="158" xfId="4" applyFont="1" applyFill="1" applyBorder="1" applyAlignment="1">
      <alignment horizontal="center" vertical="center"/>
    </xf>
    <xf numFmtId="3" fontId="18" fillId="5" borderId="152" xfId="4" applyNumberFormat="1" applyFont="1" applyFill="1" applyBorder="1" applyAlignment="1">
      <alignment horizontal="center" vertical="center"/>
    </xf>
    <xf numFmtId="165" fontId="17" fillId="2" borderId="154" xfId="4" applyFill="1" applyBorder="1" applyAlignment="1">
      <alignment vertical="center" wrapText="1"/>
    </xf>
    <xf numFmtId="3" fontId="17" fillId="2" borderId="120" xfId="4" applyNumberFormat="1" applyFill="1" applyBorder="1" applyAlignment="1">
      <alignment horizontal="center" vertical="center"/>
    </xf>
    <xf numFmtId="3" fontId="17" fillId="6" borderId="91" xfId="4" applyNumberFormat="1" applyFill="1" applyBorder="1" applyAlignment="1">
      <alignment horizontal="center" vertical="center"/>
    </xf>
    <xf numFmtId="3" fontId="17" fillId="6" borderId="57" xfId="4" applyNumberFormat="1" applyFill="1" applyBorder="1" applyAlignment="1">
      <alignment horizontal="center" vertical="center"/>
    </xf>
    <xf numFmtId="3" fontId="46" fillId="6" borderId="57" xfId="4" applyNumberFormat="1" applyFont="1" applyFill="1" applyBorder="1" applyAlignment="1">
      <alignment horizontal="center" vertical="center"/>
    </xf>
    <xf numFmtId="3" fontId="46" fillId="6" borderId="76" xfId="4" applyNumberFormat="1" applyFont="1" applyFill="1" applyBorder="1" applyAlignment="1">
      <alignment horizontal="center" vertical="center"/>
    </xf>
    <xf numFmtId="3" fontId="77" fillId="6" borderId="150" xfId="4" applyNumberFormat="1" applyFont="1" applyFill="1" applyBorder="1" applyAlignment="1">
      <alignment horizontal="center" vertical="center"/>
    </xf>
    <xf numFmtId="3" fontId="17" fillId="6" borderId="84" xfId="4" applyNumberFormat="1" applyFill="1" applyBorder="1" applyAlignment="1">
      <alignment horizontal="center" vertical="center"/>
    </xf>
    <xf numFmtId="3" fontId="66" fillId="6" borderId="83" xfId="4" applyNumberFormat="1" applyFont="1" applyFill="1" applyBorder="1" applyAlignment="1">
      <alignment horizontal="center" vertical="center"/>
    </xf>
    <xf numFmtId="3" fontId="66" fillId="6" borderId="57" xfId="4" applyNumberFormat="1" applyFont="1" applyFill="1" applyBorder="1" applyAlignment="1">
      <alignment horizontal="center" vertical="center"/>
    </xf>
    <xf numFmtId="3" fontId="66" fillId="6" borderId="133" xfId="4" applyNumberFormat="1" applyFont="1" applyFill="1" applyBorder="1" applyAlignment="1">
      <alignment horizontal="center" vertical="center"/>
    </xf>
    <xf numFmtId="9" fontId="17" fillId="6" borderId="84" xfId="4" applyNumberFormat="1" applyFill="1" applyBorder="1" applyAlignment="1">
      <alignment horizontal="center" vertical="center"/>
    </xf>
    <xf numFmtId="9" fontId="66" fillId="6" borderId="83" xfId="4" applyNumberFormat="1" applyFont="1" applyFill="1" applyBorder="1" applyAlignment="1">
      <alignment horizontal="center" vertical="center"/>
    </xf>
    <xf numFmtId="9" fontId="66" fillId="6" borderId="57" xfId="4" applyNumberFormat="1" applyFont="1" applyFill="1" applyBorder="1" applyAlignment="1">
      <alignment horizontal="center" vertical="center"/>
    </xf>
    <xf numFmtId="9" fontId="66" fillId="6" borderId="76" xfId="4" applyNumberFormat="1" applyFont="1" applyFill="1" applyBorder="1" applyAlignment="1">
      <alignment horizontal="center" vertical="center"/>
    </xf>
    <xf numFmtId="1" fontId="0" fillId="0" borderId="0" xfId="0" applyNumberFormat="1"/>
    <xf numFmtId="169" fontId="0" fillId="0" borderId="0" xfId="0" applyNumberFormat="1"/>
    <xf numFmtId="2" fontId="48" fillId="5" borderId="84" xfId="0" applyNumberFormat="1" applyFont="1" applyFill="1" applyBorder="1" applyAlignment="1">
      <alignment horizontal="center" vertical="center"/>
    </xf>
    <xf numFmtId="2" fontId="48" fillId="5" borderId="120" xfId="0" applyNumberFormat="1" applyFont="1" applyFill="1" applyBorder="1" applyAlignment="1">
      <alignment horizontal="center" vertical="center"/>
    </xf>
    <xf numFmtId="0" fontId="0" fillId="15" borderId="98" xfId="0" applyFill="1" applyBorder="1" applyAlignment="1">
      <alignment horizontal="center" vertical="center"/>
    </xf>
    <xf numFmtId="169" fontId="0" fillId="15" borderId="98" xfId="0" applyNumberFormat="1" applyFill="1" applyBorder="1" applyAlignment="1">
      <alignment horizontal="center" vertical="center"/>
    </xf>
    <xf numFmtId="0" fontId="0" fillId="0" borderId="98" xfId="0" applyBorder="1"/>
    <xf numFmtId="169" fontId="0" fillId="0" borderId="98" xfId="0" applyNumberFormat="1" applyBorder="1" applyAlignment="1">
      <alignment horizontal="center" vertical="center"/>
    </xf>
    <xf numFmtId="3" fontId="53" fillId="6" borderId="59" xfId="21" applyNumberFormat="1" applyFont="1" applyFill="1" applyBorder="1" applyAlignment="1" applyProtection="1">
      <alignment horizontal="center" vertical="center" wrapText="1"/>
      <protection locked="0"/>
    </xf>
    <xf numFmtId="3" fontId="53" fillId="6" borderId="45" xfId="21" applyNumberFormat="1" applyFont="1" applyFill="1" applyBorder="1" applyAlignment="1" applyProtection="1">
      <alignment horizontal="center" vertical="center" wrapText="1"/>
      <protection locked="0"/>
    </xf>
    <xf numFmtId="0" fontId="0" fillId="0" borderId="0" xfId="0" pivotButton="1" applyAlignment="1">
      <alignment horizontal="center" vertical="center"/>
    </xf>
    <xf numFmtId="3" fontId="53" fillId="14" borderId="60" xfId="21" applyNumberFormat="1" applyFont="1" applyFill="1" applyBorder="1" applyAlignment="1" applyProtection="1">
      <alignment horizontal="center" vertical="center" wrapText="1"/>
      <protection locked="0"/>
    </xf>
    <xf numFmtId="14" fontId="53" fillId="14" borderId="56" xfId="21" applyNumberFormat="1" applyFont="1" applyFill="1" applyBorder="1" applyAlignment="1" applyProtection="1">
      <alignment horizontal="center" vertical="center" wrapText="1"/>
      <protection locked="0"/>
    </xf>
    <xf numFmtId="14" fontId="53" fillId="14" borderId="57" xfId="21" applyNumberFormat="1" applyFont="1" applyFill="1" applyBorder="1" applyAlignment="1" applyProtection="1">
      <alignment horizontal="center" vertical="center" wrapText="1"/>
      <protection locked="0"/>
    </xf>
    <xf numFmtId="0" fontId="48" fillId="5" borderId="120" xfId="0" applyFont="1" applyFill="1" applyBorder="1" applyAlignment="1">
      <alignment horizontal="center" vertical="center"/>
    </xf>
    <xf numFmtId="0" fontId="48" fillId="5" borderId="84" xfId="0" applyFont="1" applyFill="1" applyBorder="1" applyAlignment="1">
      <alignment horizontal="center" vertical="center"/>
    </xf>
    <xf numFmtId="0" fontId="48" fillId="5" borderId="84" xfId="0" applyFont="1" applyFill="1" applyBorder="1" applyAlignment="1" applyProtection="1">
      <alignment horizontal="center" vertical="center" wrapText="1"/>
      <protection locked="0"/>
    </xf>
    <xf numFmtId="0" fontId="21" fillId="7" borderId="163" xfId="0" applyFont="1" applyFill="1" applyBorder="1" applyAlignment="1" applyProtection="1">
      <alignment horizontal="center" vertical="center" wrapText="1"/>
    </xf>
    <xf numFmtId="0" fontId="37" fillId="7" borderId="143" xfId="0" applyFont="1" applyFill="1" applyBorder="1" applyAlignment="1" applyProtection="1">
      <alignment horizontal="center" vertical="center" wrapText="1"/>
    </xf>
    <xf numFmtId="0" fontId="21" fillId="7" borderId="162" xfId="0" applyFont="1" applyFill="1" applyBorder="1" applyAlignment="1" applyProtection="1">
      <alignment horizontal="center" vertical="center" wrapText="1"/>
    </xf>
    <xf numFmtId="0" fontId="21" fillId="13" borderId="143" xfId="0" applyFont="1" applyFill="1" applyBorder="1" applyAlignment="1" applyProtection="1">
      <alignment horizontal="center" vertical="center" wrapText="1"/>
    </xf>
    <xf numFmtId="0" fontId="29" fillId="4" borderId="163" xfId="0" applyFont="1" applyFill="1" applyBorder="1" applyAlignment="1" applyProtection="1">
      <alignment horizontal="center" vertical="center" wrapText="1"/>
    </xf>
    <xf numFmtId="0" fontId="29" fillId="4" borderId="143" xfId="0" applyFont="1" applyFill="1" applyBorder="1" applyAlignment="1" applyProtection="1">
      <alignment horizontal="center" vertical="center" wrapText="1"/>
    </xf>
    <xf numFmtId="0" fontId="21" fillId="4" borderId="162" xfId="0" applyFont="1" applyFill="1" applyBorder="1" applyAlignment="1" applyProtection="1">
      <alignment horizontal="center" vertical="center" wrapText="1"/>
    </xf>
    <xf numFmtId="0" fontId="14" fillId="4" borderId="162" xfId="0" applyFont="1" applyFill="1" applyBorder="1" applyAlignment="1" applyProtection="1">
      <alignment horizontal="center" vertical="center" wrapText="1"/>
    </xf>
    <xf numFmtId="9" fontId="29" fillId="4" borderId="163" xfId="0" applyNumberFormat="1" applyFont="1" applyFill="1" applyBorder="1" applyAlignment="1" applyProtection="1">
      <alignment horizontal="center" vertical="center" wrapText="1"/>
    </xf>
    <xf numFmtId="9" fontId="21" fillId="4" borderId="143" xfId="0" applyNumberFormat="1" applyFont="1" applyFill="1" applyBorder="1" applyAlignment="1" applyProtection="1">
      <alignment horizontal="center" vertical="center" wrapText="1"/>
    </xf>
    <xf numFmtId="9" fontId="21" fillId="4" borderId="162" xfId="0" applyNumberFormat="1" applyFont="1" applyFill="1" applyBorder="1" applyAlignment="1" applyProtection="1">
      <alignment horizontal="center" vertical="center" wrapText="1"/>
    </xf>
    <xf numFmtId="0" fontId="21" fillId="4" borderId="163" xfId="0" applyFont="1" applyFill="1" applyBorder="1" applyAlignment="1" applyProtection="1">
      <alignment horizontal="center" vertical="center" wrapText="1"/>
    </xf>
    <xf numFmtId="0" fontId="37" fillId="13" borderId="143" xfId="0" applyFont="1" applyFill="1" applyBorder="1" applyAlignment="1" applyProtection="1">
      <alignment horizontal="center" vertical="center" wrapText="1"/>
    </xf>
    <xf numFmtId="0" fontId="21" fillId="4" borderId="143" xfId="0" applyFont="1" applyFill="1" applyBorder="1" applyAlignment="1" applyProtection="1">
      <alignment horizontal="center" vertical="center" wrapText="1"/>
    </xf>
    <xf numFmtId="9" fontId="29" fillId="4" borderId="143" xfId="0" applyNumberFormat="1" applyFont="1" applyFill="1" applyBorder="1" applyAlignment="1" applyProtection="1">
      <alignment horizontal="center" vertical="center" wrapText="1"/>
    </xf>
    <xf numFmtId="0" fontId="29" fillId="13" borderId="143" xfId="0" applyFont="1" applyFill="1" applyBorder="1" applyAlignment="1" applyProtection="1">
      <alignment horizontal="center" vertical="center" wrapText="1"/>
    </xf>
    <xf numFmtId="0" fontId="29" fillId="6" borderId="163" xfId="0" applyFont="1" applyFill="1" applyBorder="1" applyAlignment="1" applyProtection="1">
      <alignment horizontal="center" vertical="center" wrapText="1"/>
    </xf>
    <xf numFmtId="0" fontId="29" fillId="6" borderId="143" xfId="0" applyFont="1" applyFill="1" applyBorder="1" applyAlignment="1" applyProtection="1">
      <alignment horizontal="center" vertical="center" wrapText="1"/>
    </xf>
    <xf numFmtId="0" fontId="21" fillId="6" borderId="162" xfId="0" applyFont="1" applyFill="1" applyBorder="1" applyAlignment="1" applyProtection="1">
      <alignment horizontal="center" vertical="center" wrapText="1"/>
    </xf>
    <xf numFmtId="0" fontId="21" fillId="6" borderId="143" xfId="0" applyFont="1" applyFill="1" applyBorder="1" applyAlignment="1" applyProtection="1">
      <alignment horizontal="center" vertical="center" wrapText="1"/>
    </xf>
    <xf numFmtId="0" fontId="21" fillId="6" borderId="163" xfId="0" applyFont="1" applyFill="1" applyBorder="1" applyAlignment="1" applyProtection="1">
      <alignment horizontal="center" vertical="center" wrapText="1"/>
    </xf>
    <xf numFmtId="0" fontId="29" fillId="3" borderId="163" xfId="0" applyFont="1" applyFill="1" applyBorder="1" applyAlignment="1" applyProtection="1">
      <alignment horizontal="center" vertical="center" wrapText="1"/>
    </xf>
    <xf numFmtId="0" fontId="29" fillId="3" borderId="143" xfId="0" applyFont="1" applyFill="1" applyBorder="1" applyAlignment="1" applyProtection="1">
      <alignment horizontal="center" vertical="center" wrapText="1"/>
    </xf>
    <xf numFmtId="0" fontId="21" fillId="3" borderId="143" xfId="0" applyFont="1" applyFill="1" applyBorder="1" applyAlignment="1" applyProtection="1">
      <alignment horizontal="center" vertical="center" wrapText="1"/>
    </xf>
    <xf numFmtId="0" fontId="21" fillId="3" borderId="162" xfId="0" applyFont="1" applyFill="1" applyBorder="1" applyAlignment="1" applyProtection="1">
      <alignment horizontal="center" vertical="center" wrapText="1"/>
    </xf>
    <xf numFmtId="0" fontId="21" fillId="3" borderId="103" xfId="0" applyFont="1" applyFill="1" applyBorder="1" applyAlignment="1" applyProtection="1">
      <alignment horizontal="center" vertical="center" wrapText="1"/>
    </xf>
    <xf numFmtId="0" fontId="21" fillId="3" borderId="163" xfId="0" applyFont="1" applyFill="1" applyBorder="1" applyAlignment="1" applyProtection="1">
      <alignment horizontal="center" vertical="center" wrapText="1"/>
    </xf>
    <xf numFmtId="0" fontId="37" fillId="3" borderId="143" xfId="0" applyFont="1" applyFill="1" applyBorder="1" applyAlignment="1" applyProtection="1">
      <alignment horizontal="center" vertical="center" wrapText="1"/>
    </xf>
    <xf numFmtId="0" fontId="48" fillId="0" borderId="164" xfId="0" applyFont="1" applyFill="1" applyBorder="1" applyAlignment="1">
      <alignment horizontal="center" vertical="center"/>
    </xf>
    <xf numFmtId="1" fontId="74" fillId="0" borderId="165" xfId="0" applyNumberFormat="1" applyFont="1" applyFill="1" applyBorder="1" applyAlignment="1" applyProtection="1">
      <alignment horizontal="center" vertical="center" wrapText="1"/>
      <protection locked="0"/>
    </xf>
    <xf numFmtId="0" fontId="48" fillId="0" borderId="165" xfId="0" applyFont="1" applyFill="1" applyBorder="1" applyAlignment="1">
      <alignment horizontal="center" vertical="center"/>
    </xf>
    <xf numFmtId="0" fontId="48" fillId="0" borderId="165" xfId="0" applyFont="1" applyBorder="1" applyAlignment="1">
      <alignment horizontal="center" vertical="center"/>
    </xf>
    <xf numFmtId="0" fontId="48" fillId="0" borderId="165" xfId="0" applyFont="1" applyFill="1" applyBorder="1" applyAlignment="1">
      <alignment horizontal="center" vertical="center" wrapText="1"/>
    </xf>
    <xf numFmtId="0" fontId="53" fillId="14" borderId="50" xfId="21" applyFont="1" applyFill="1" applyBorder="1" applyAlignment="1" applyProtection="1">
      <alignment horizontal="left" vertical="center" wrapText="1"/>
      <protection locked="0"/>
    </xf>
    <xf numFmtId="0" fontId="53" fillId="9" borderId="77" xfId="21" applyFont="1" applyFill="1" applyBorder="1" applyAlignment="1" applyProtection="1">
      <alignment horizontal="left" vertical="center" wrapText="1"/>
      <protection locked="0"/>
    </xf>
    <xf numFmtId="0" fontId="53" fillId="9" borderId="72" xfId="21" applyFont="1" applyFill="1" applyBorder="1" applyAlignment="1" applyProtection="1">
      <alignment horizontal="left" vertical="center" wrapText="1"/>
      <protection locked="0"/>
    </xf>
    <xf numFmtId="0" fontId="53" fillId="14" borderId="58" xfId="21" applyFont="1" applyFill="1" applyBorder="1" applyAlignment="1" applyProtection="1">
      <alignment horizontal="center" vertical="center" wrapText="1"/>
      <protection locked="0"/>
    </xf>
    <xf numFmtId="3" fontId="53" fillId="9" borderId="53" xfId="21" applyNumberFormat="1" applyFont="1" applyFill="1" applyBorder="1" applyAlignment="1" applyProtection="1">
      <alignment horizontal="center" vertical="center" wrapText="1"/>
      <protection locked="0"/>
    </xf>
    <xf numFmtId="3" fontId="53" fillId="14" borderId="80" xfId="21" applyNumberFormat="1" applyFont="1" applyFill="1" applyBorder="1" applyAlignment="1" applyProtection="1">
      <alignment horizontal="center" vertical="center" wrapText="1"/>
      <protection locked="0"/>
    </xf>
    <xf numFmtId="3" fontId="53" fillId="9" borderId="86" xfId="21" applyNumberFormat="1" applyFont="1" applyFill="1" applyBorder="1" applyAlignment="1" applyProtection="1">
      <alignment horizontal="center" vertical="center" wrapText="1"/>
      <protection locked="0"/>
    </xf>
    <xf numFmtId="3" fontId="53" fillId="9" borderId="49" xfId="21" applyNumberFormat="1" applyFont="1" applyFill="1" applyBorder="1" applyAlignment="1" applyProtection="1">
      <alignment horizontal="center" vertical="center" wrapText="1"/>
      <protection locked="0"/>
    </xf>
    <xf numFmtId="3" fontId="53" fillId="14" borderId="76" xfId="21" applyNumberFormat="1" applyFont="1" applyFill="1" applyBorder="1" applyAlignment="1" applyProtection="1">
      <alignment horizontal="center" vertical="center" wrapText="1"/>
      <protection locked="0"/>
    </xf>
    <xf numFmtId="3" fontId="53" fillId="9" borderId="52" xfId="21" applyNumberFormat="1" applyFont="1" applyFill="1" applyBorder="1" applyAlignment="1" applyProtection="1">
      <alignment horizontal="center" vertical="center" wrapText="1"/>
      <protection locked="0"/>
    </xf>
    <xf numFmtId="3" fontId="53" fillId="14" borderId="79" xfId="21" applyNumberFormat="1" applyFont="1" applyFill="1" applyBorder="1" applyAlignment="1" applyProtection="1">
      <alignment horizontal="center" vertical="center" wrapText="1"/>
      <protection locked="0"/>
    </xf>
    <xf numFmtId="0" fontId="53" fillId="14" borderId="54" xfId="21" applyFont="1" applyFill="1" applyBorder="1" applyAlignment="1" applyProtection="1">
      <alignment horizontal="center" vertical="center" wrapText="1"/>
      <protection locked="0"/>
    </xf>
    <xf numFmtId="3" fontId="53" fillId="14" borderId="81" xfId="21" applyNumberFormat="1" applyFont="1" applyFill="1" applyBorder="1" applyAlignment="1" applyProtection="1">
      <alignment horizontal="center" vertical="center" wrapText="1"/>
      <protection locked="0"/>
    </xf>
    <xf numFmtId="3" fontId="53" fillId="14" borderId="44" xfId="21" applyNumberFormat="1" applyFont="1" applyFill="1" applyBorder="1" applyAlignment="1" applyProtection="1">
      <alignment horizontal="center" vertical="center" wrapText="1"/>
      <protection locked="0"/>
    </xf>
    <xf numFmtId="0" fontId="53" fillId="14" borderId="49" xfId="21" applyFont="1" applyFill="1" applyBorder="1" applyAlignment="1" applyProtection="1">
      <alignment horizontal="center" vertical="center" wrapText="1"/>
      <protection locked="0"/>
    </xf>
    <xf numFmtId="3" fontId="53" fillId="14" borderId="45" xfId="21" applyNumberFormat="1" applyFont="1" applyFill="1" applyBorder="1" applyAlignment="1" applyProtection="1">
      <alignment horizontal="center" vertical="center" wrapText="1"/>
      <protection locked="0"/>
    </xf>
    <xf numFmtId="0" fontId="53" fillId="14" borderId="51" xfId="21" applyFont="1" applyFill="1" applyBorder="1" applyAlignment="1" applyProtection="1">
      <alignment horizontal="center" vertical="center" wrapText="1"/>
      <protection locked="0"/>
    </xf>
    <xf numFmtId="3" fontId="53" fillId="14" borderId="78" xfId="21" applyNumberFormat="1" applyFont="1" applyFill="1" applyBorder="1" applyAlignment="1" applyProtection="1">
      <alignment horizontal="center" vertical="center" wrapText="1"/>
      <protection locked="0"/>
    </xf>
    <xf numFmtId="3" fontId="53" fillId="14" borderId="46" xfId="21" applyNumberFormat="1" applyFont="1" applyFill="1" applyBorder="1" applyAlignment="1" applyProtection="1">
      <alignment horizontal="center" vertical="center" wrapText="1"/>
      <protection locked="0"/>
    </xf>
    <xf numFmtId="9" fontId="53" fillId="14" borderId="49" xfId="21" applyNumberFormat="1" applyFont="1" applyFill="1" applyBorder="1" applyAlignment="1" applyProtection="1">
      <alignment horizontal="center" vertical="center" wrapText="1"/>
      <protection locked="0"/>
    </xf>
    <xf numFmtId="9" fontId="53" fillId="14" borderId="51" xfId="21" applyNumberFormat="1" applyFont="1" applyFill="1" applyBorder="1" applyAlignment="1" applyProtection="1">
      <alignment horizontal="center" vertical="center" wrapText="1"/>
      <protection locked="0"/>
    </xf>
    <xf numFmtId="0" fontId="53" fillId="9" borderId="48" xfId="21" applyFont="1" applyFill="1" applyBorder="1" applyAlignment="1" applyProtection="1">
      <alignment horizontal="center" vertical="center" wrapText="1"/>
      <protection locked="0"/>
    </xf>
    <xf numFmtId="3" fontId="53" fillId="9" borderId="68" xfId="21" applyNumberFormat="1" applyFont="1" applyFill="1" applyBorder="1" applyAlignment="1" applyProtection="1">
      <alignment horizontal="center" vertical="center" wrapText="1"/>
      <protection locked="0"/>
    </xf>
    <xf numFmtId="3" fontId="53" fillId="9" borderId="85" xfId="21"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protection locked="0"/>
    </xf>
    <xf numFmtId="169" fontId="48" fillId="5" borderId="121" xfId="0" applyNumberFormat="1" applyFont="1" applyFill="1" applyBorder="1" applyAlignment="1">
      <alignment horizontal="center" vertical="center"/>
    </xf>
    <xf numFmtId="169" fontId="74" fillId="5" borderId="84" xfId="0" applyNumberFormat="1" applyFont="1" applyFill="1" applyBorder="1" applyAlignment="1" applyProtection="1">
      <alignment horizontal="center" vertical="center" wrapText="1"/>
      <protection locked="0"/>
    </xf>
    <xf numFmtId="169" fontId="74" fillId="5" borderId="119" xfId="0" applyNumberFormat="1" applyFont="1" applyFill="1" applyBorder="1" applyAlignment="1" applyProtection="1">
      <alignment horizontal="center" vertical="center" wrapText="1"/>
      <protection locked="0"/>
    </xf>
    <xf numFmtId="169" fontId="48" fillId="5" borderId="119" xfId="0" applyNumberFormat="1" applyFont="1" applyFill="1" applyBorder="1" applyAlignment="1">
      <alignment horizontal="center" vertical="center"/>
    </xf>
    <xf numFmtId="0" fontId="74" fillId="5" borderId="122" xfId="0" applyFont="1" applyFill="1" applyBorder="1" applyAlignment="1" applyProtection="1">
      <alignment horizontal="center" vertical="center" wrapText="1"/>
      <protection locked="0"/>
    </xf>
    <xf numFmtId="0" fontId="48" fillId="2" borderId="123" xfId="0" applyFont="1" applyFill="1" applyBorder="1" applyAlignment="1" applyProtection="1">
      <alignment horizontal="center"/>
      <protection locked="0"/>
    </xf>
    <xf numFmtId="0" fontId="48" fillId="2" borderId="84" xfId="0" applyFont="1" applyFill="1" applyBorder="1" applyAlignment="1" applyProtection="1">
      <alignment horizontal="center"/>
      <protection locked="0"/>
    </xf>
    <xf numFmtId="0" fontId="48" fillId="5" borderId="84" xfId="0" applyFont="1" applyFill="1" applyBorder="1" applyAlignment="1" applyProtection="1">
      <alignment horizontal="center"/>
      <protection locked="0"/>
    </xf>
    <xf numFmtId="0" fontId="48" fillId="0" borderId="131" xfId="0" applyFont="1" applyFill="1" applyBorder="1" applyAlignment="1" applyProtection="1">
      <alignment horizontal="center" vertical="center" wrapText="1"/>
      <protection locked="0"/>
    </xf>
    <xf numFmtId="0" fontId="48" fillId="2" borderId="131" xfId="0" applyFont="1" applyFill="1" applyBorder="1" applyAlignment="1" applyProtection="1">
      <alignment horizontal="center"/>
      <protection locked="0"/>
    </xf>
    <xf numFmtId="0" fontId="48" fillId="5" borderId="145" xfId="0" applyFont="1" applyFill="1" applyBorder="1" applyAlignment="1">
      <alignment horizontal="center" vertical="center"/>
    </xf>
    <xf numFmtId="0" fontId="74" fillId="5" borderId="146" xfId="0" applyFont="1" applyFill="1" applyBorder="1" applyAlignment="1" applyProtection="1">
      <alignment horizontal="center" vertical="center" wrapText="1"/>
      <protection locked="0"/>
    </xf>
    <xf numFmtId="0" fontId="48" fillId="5" borderId="146" xfId="0" applyFont="1" applyFill="1" applyBorder="1" applyAlignment="1">
      <alignment horizontal="center" vertical="center"/>
    </xf>
    <xf numFmtId="0" fontId="26" fillId="5" borderId="122" xfId="0" applyFont="1" applyFill="1" applyBorder="1" applyAlignment="1" applyProtection="1">
      <alignment horizontal="center" vertical="center" wrapText="1"/>
    </xf>
    <xf numFmtId="0" fontId="74" fillId="0" borderId="120" xfId="0" applyFont="1" applyFill="1" applyBorder="1" applyAlignment="1" applyProtection="1">
      <alignment horizontal="center" vertical="center" wrapText="1"/>
    </xf>
    <xf numFmtId="0" fontId="26" fillId="5" borderId="123" xfId="0" applyFont="1" applyFill="1" applyBorder="1" applyAlignment="1" applyProtection="1">
      <alignment horizontal="center" vertical="center" wrapText="1"/>
    </xf>
    <xf numFmtId="0" fontId="74" fillId="0" borderId="84" xfId="0" applyFont="1" applyFill="1" applyBorder="1" applyAlignment="1" applyProtection="1">
      <alignment horizontal="center" vertical="center" wrapText="1"/>
    </xf>
    <xf numFmtId="0" fontId="48" fillId="5" borderId="119" xfId="0" applyFont="1" applyFill="1" applyBorder="1" applyAlignment="1" applyProtection="1">
      <alignment horizontal="center" vertical="center"/>
      <protection locked="0"/>
    </xf>
    <xf numFmtId="0" fontId="48" fillId="2" borderId="84" xfId="0" applyFont="1" applyFill="1" applyBorder="1" applyAlignment="1" applyProtection="1">
      <alignment horizontal="center" vertical="center"/>
      <protection locked="0"/>
    </xf>
    <xf numFmtId="0" fontId="48" fillId="5" borderId="123" xfId="0" applyFont="1" applyFill="1" applyBorder="1" applyAlignment="1" applyProtection="1">
      <alignment horizontal="center" vertical="center"/>
      <protection locked="0"/>
    </xf>
    <xf numFmtId="169" fontId="48" fillId="5" borderId="84" xfId="0" applyNumberFormat="1" applyFont="1" applyFill="1" applyBorder="1" applyAlignment="1" applyProtection="1">
      <alignment horizontal="center" vertical="center"/>
      <protection locked="0"/>
    </xf>
    <xf numFmtId="169" fontId="48" fillId="5" borderId="119" xfId="0" applyNumberFormat="1" applyFont="1" applyFill="1" applyBorder="1" applyAlignment="1" applyProtection="1">
      <alignment horizontal="center" vertical="center"/>
      <protection locked="0"/>
    </xf>
    <xf numFmtId="0" fontId="48" fillId="2" borderId="123" xfId="0" applyFont="1" applyFill="1" applyBorder="1" applyAlignment="1" applyProtection="1">
      <alignment horizontal="center" vertical="center"/>
      <protection locked="0"/>
    </xf>
    <xf numFmtId="9" fontId="48" fillId="2" borderId="84" xfId="0" applyNumberFormat="1" applyFont="1" applyFill="1" applyBorder="1" applyAlignment="1" applyProtection="1">
      <alignment horizontal="center" vertical="center"/>
      <protection locked="0"/>
    </xf>
    <xf numFmtId="9" fontId="48" fillId="2" borderId="119" xfId="0" applyNumberFormat="1" applyFont="1" applyFill="1" applyBorder="1" applyAlignment="1" applyProtection="1">
      <alignment horizontal="center" vertical="center"/>
      <protection locked="0"/>
    </xf>
    <xf numFmtId="9" fontId="48" fillId="2" borderId="146" xfId="0" applyNumberFormat="1" applyFont="1" applyFill="1" applyBorder="1" applyAlignment="1" applyProtection="1">
      <alignment horizontal="center" vertical="center"/>
      <protection locked="0"/>
    </xf>
    <xf numFmtId="0" fontId="48" fillId="2" borderId="119" xfId="0" applyFont="1" applyFill="1" applyBorder="1" applyAlignment="1" applyProtection="1">
      <alignment horizontal="center" vertical="center"/>
      <protection locked="0"/>
    </xf>
    <xf numFmtId="0" fontId="74" fillId="13" borderId="84" xfId="0" applyNumberFormat="1" applyFont="1" applyFill="1" applyBorder="1" applyAlignment="1" applyProtection="1">
      <alignment horizontal="center" vertical="center" wrapText="1"/>
    </xf>
    <xf numFmtId="9" fontId="26" fillId="6" borderId="145" xfId="0" applyNumberFormat="1" applyFont="1" applyFill="1" applyBorder="1" applyAlignment="1" applyProtection="1">
      <alignment horizontal="center" vertical="center" wrapText="1"/>
    </xf>
    <xf numFmtId="9" fontId="26" fillId="6" borderId="146" xfId="0" applyNumberFormat="1" applyFont="1" applyFill="1" applyBorder="1" applyAlignment="1" applyProtection="1">
      <alignment horizontal="center" vertical="center" wrapText="1"/>
    </xf>
    <xf numFmtId="0" fontId="48" fillId="14" borderId="166" xfId="0" applyFont="1" applyFill="1" applyBorder="1" applyAlignment="1">
      <alignment horizontal="center" vertical="center"/>
    </xf>
    <xf numFmtId="0" fontId="74" fillId="14" borderId="132" xfId="0" applyFont="1" applyFill="1" applyBorder="1" applyAlignment="1" applyProtection="1">
      <alignment horizontal="center" vertical="center" wrapText="1"/>
      <protection locked="0"/>
    </xf>
    <xf numFmtId="0" fontId="48" fillId="14" borderId="132" xfId="0" applyFont="1" applyFill="1" applyBorder="1" applyAlignment="1">
      <alignment horizontal="center" vertical="center"/>
    </xf>
    <xf numFmtId="0" fontId="48" fillId="14" borderId="21" xfId="0" applyFont="1" applyFill="1" applyBorder="1" applyAlignment="1">
      <alignment horizontal="center" vertical="center"/>
    </xf>
    <xf numFmtId="0" fontId="74" fillId="14" borderId="21" xfId="0" applyFont="1" applyFill="1" applyBorder="1" applyAlignment="1" applyProtection="1">
      <alignment horizontal="center" vertical="center" wrapText="1"/>
      <protection locked="0"/>
    </xf>
    <xf numFmtId="0" fontId="48" fillId="0" borderId="122" xfId="0" applyFont="1" applyFill="1" applyBorder="1" applyAlignment="1">
      <alignment horizontal="center" vertical="center"/>
    </xf>
    <xf numFmtId="0" fontId="48" fillId="16" borderId="84" xfId="0" applyFont="1" applyFill="1" applyBorder="1" applyAlignment="1" applyProtection="1">
      <alignment horizontal="center" vertical="center" wrapText="1"/>
      <protection locked="0"/>
    </xf>
    <xf numFmtId="0" fontId="48" fillId="16" borderId="131" xfId="0" applyFont="1" applyFill="1" applyBorder="1" applyAlignment="1" applyProtection="1">
      <alignment horizontal="center" vertical="center" wrapText="1"/>
      <protection locked="0"/>
    </xf>
    <xf numFmtId="0" fontId="48" fillId="16" borderId="84" xfId="0" applyFont="1" applyFill="1" applyBorder="1" applyAlignment="1">
      <alignment horizontal="center" vertical="center"/>
    </xf>
    <xf numFmtId="0" fontId="48" fillId="16" borderId="131" xfId="0" applyFont="1" applyFill="1" applyBorder="1" applyAlignment="1">
      <alignment horizontal="center" vertical="center"/>
    </xf>
    <xf numFmtId="0" fontId="24" fillId="5" borderId="3" xfId="0" applyFont="1" applyFill="1" applyBorder="1" applyAlignment="1" applyProtection="1">
      <alignment horizontal="center" vertical="center"/>
      <protection locked="0"/>
    </xf>
    <xf numFmtId="0" fontId="48" fillId="2" borderId="119" xfId="0" applyFont="1" applyFill="1" applyBorder="1" applyAlignment="1" applyProtection="1">
      <alignment horizontal="center"/>
      <protection locked="0"/>
    </xf>
    <xf numFmtId="0" fontId="24" fillId="5" borderId="9" xfId="0" applyFont="1" applyFill="1" applyBorder="1" applyAlignment="1" applyProtection="1">
      <alignment horizontal="center" vertical="center"/>
      <protection locked="0"/>
    </xf>
    <xf numFmtId="0" fontId="24" fillId="5" borderId="12" xfId="0" applyFont="1" applyFill="1" applyBorder="1" applyAlignment="1" applyProtection="1">
      <alignment horizontal="center" vertical="center"/>
      <protection locked="0"/>
    </xf>
    <xf numFmtId="0" fontId="24" fillId="5" borderId="25" xfId="0" applyFont="1" applyFill="1" applyBorder="1" applyAlignment="1" applyProtection="1">
      <alignment horizontal="center" vertical="center"/>
      <protection locked="0"/>
    </xf>
    <xf numFmtId="0" fontId="48" fillId="5" borderId="84" xfId="0" applyFont="1" applyFill="1" applyBorder="1" applyAlignment="1" applyProtection="1">
      <alignment horizontal="center" vertical="center"/>
      <protection locked="0"/>
    </xf>
    <xf numFmtId="0" fontId="48" fillId="5" borderId="84" xfId="0" applyFont="1" applyFill="1" applyBorder="1" applyAlignment="1" applyProtection="1">
      <alignment horizontal="center" wrapText="1"/>
      <protection locked="0"/>
    </xf>
    <xf numFmtId="9" fontId="48" fillId="2" borderId="123" xfId="0" applyNumberFormat="1" applyFont="1" applyFill="1" applyBorder="1" applyAlignment="1" applyProtection="1">
      <alignment horizontal="center" vertical="center"/>
      <protection locked="0"/>
    </xf>
    <xf numFmtId="1" fontId="48" fillId="0" borderId="121" xfId="1" applyNumberFormat="1" applyFont="1" applyFill="1" applyBorder="1" applyAlignment="1">
      <alignment horizontal="center" vertical="center"/>
    </xf>
    <xf numFmtId="1" fontId="74" fillId="0" borderId="119" xfId="1" applyNumberFormat="1" applyFont="1" applyFill="1" applyBorder="1" applyAlignment="1" applyProtection="1">
      <alignment horizontal="center" vertical="center" wrapText="1"/>
      <protection locked="0"/>
    </xf>
    <xf numFmtId="1" fontId="48" fillId="0" borderId="119" xfId="0" applyNumberFormat="1" applyFont="1" applyFill="1" applyBorder="1" applyAlignment="1">
      <alignment horizontal="center" vertical="center"/>
    </xf>
    <xf numFmtId="1" fontId="74" fillId="0" borderId="119" xfId="0" applyNumberFormat="1" applyFont="1" applyFill="1" applyBorder="1" applyAlignment="1" applyProtection="1">
      <alignment horizontal="center" vertical="center" wrapText="1"/>
      <protection locked="0"/>
    </xf>
    <xf numFmtId="1" fontId="48" fillId="0" borderId="119" xfId="1" applyNumberFormat="1" applyFont="1" applyFill="1" applyBorder="1" applyAlignment="1">
      <alignment horizontal="center" vertical="center"/>
    </xf>
    <xf numFmtId="1" fontId="48" fillId="0" borderId="119" xfId="0" applyNumberFormat="1" applyFont="1" applyFill="1" applyBorder="1" applyAlignment="1" applyProtection="1">
      <alignment horizontal="center" vertical="center"/>
      <protection locked="0"/>
    </xf>
    <xf numFmtId="0" fontId="78" fillId="0" borderId="35" xfId="0" pivotButton="1" applyFont="1" applyBorder="1"/>
    <xf numFmtId="0" fontId="78" fillId="0" borderId="35" xfId="0" applyFont="1" applyBorder="1"/>
    <xf numFmtId="0" fontId="78" fillId="0" borderId="30" xfId="0" pivotButton="1" applyFont="1" applyBorder="1" applyAlignment="1">
      <alignment wrapText="1"/>
    </xf>
    <xf numFmtId="0" fontId="78" fillId="0" borderId="36" xfId="0" applyFont="1" applyBorder="1" applyAlignment="1">
      <alignment horizontal="center" vertical="center"/>
    </xf>
    <xf numFmtId="0" fontId="78" fillId="0" borderId="36" xfId="0" applyFont="1" applyBorder="1"/>
    <xf numFmtId="0" fontId="78" fillId="0" borderId="30" xfId="0" applyFont="1" applyBorder="1"/>
    <xf numFmtId="3" fontId="78" fillId="0" borderId="36" xfId="0" applyNumberFormat="1" applyFont="1" applyBorder="1" applyAlignment="1">
      <alignment horizontal="center" vertical="center"/>
    </xf>
    <xf numFmtId="0" fontId="78" fillId="0" borderId="34" xfId="0" applyFont="1" applyBorder="1"/>
    <xf numFmtId="3" fontId="78" fillId="0" borderId="37" xfId="0" applyNumberFormat="1" applyFont="1" applyBorder="1" applyAlignment="1">
      <alignment horizontal="center" vertical="center"/>
    </xf>
    <xf numFmtId="0" fontId="78" fillId="0" borderId="38" xfId="0" applyFont="1" applyBorder="1" applyAlignment="1">
      <alignment wrapText="1"/>
    </xf>
    <xf numFmtId="3" fontId="78" fillId="0" borderId="35" xfId="0" applyNumberFormat="1" applyFont="1" applyBorder="1" applyAlignment="1">
      <alignment horizontal="center" vertical="center"/>
    </xf>
    <xf numFmtId="0" fontId="78" fillId="0" borderId="30" xfId="0" applyFont="1" applyBorder="1" applyAlignment="1">
      <alignment wrapText="1"/>
    </xf>
    <xf numFmtId="0" fontId="78" fillId="0" borderId="31" xfId="0" applyFont="1" applyBorder="1" applyAlignment="1">
      <alignment horizontal="center" vertical="center"/>
    </xf>
    <xf numFmtId="0" fontId="78" fillId="0" borderId="32" xfId="0" applyFont="1" applyBorder="1" applyAlignment="1">
      <alignment horizontal="center" vertical="center"/>
    </xf>
    <xf numFmtId="0" fontId="78" fillId="0" borderId="30" xfId="0" pivotButton="1" applyFont="1" applyBorder="1"/>
    <xf numFmtId="0" fontId="78" fillId="0" borderId="33" xfId="0" applyFont="1" applyBorder="1"/>
    <xf numFmtId="3" fontId="78" fillId="0" borderId="30" xfId="0" applyNumberFormat="1" applyFont="1" applyBorder="1" applyAlignment="1">
      <alignment horizontal="center" vertical="center"/>
    </xf>
    <xf numFmtId="3" fontId="78" fillId="0" borderId="33" xfId="0" applyNumberFormat="1" applyFont="1" applyBorder="1" applyAlignment="1">
      <alignment horizontal="center" vertical="center"/>
    </xf>
    <xf numFmtId="3" fontId="78" fillId="0" borderId="34" xfId="0" applyNumberFormat="1" applyFont="1" applyBorder="1" applyAlignment="1">
      <alignment horizontal="center" vertical="center"/>
    </xf>
    <xf numFmtId="3" fontId="78" fillId="0" borderId="0" xfId="0" applyNumberFormat="1" applyFont="1" applyAlignment="1">
      <alignment horizontal="center" vertical="center"/>
    </xf>
    <xf numFmtId="0" fontId="78" fillId="0" borderId="41" xfId="0" applyFont="1" applyBorder="1"/>
    <xf numFmtId="3" fontId="78" fillId="0" borderId="41" xfId="0" applyNumberFormat="1" applyFont="1" applyBorder="1" applyAlignment="1">
      <alignment horizontal="center" vertical="center"/>
    </xf>
    <xf numFmtId="3" fontId="78" fillId="0" borderId="43" xfId="0" applyNumberFormat="1" applyFont="1" applyBorder="1" applyAlignment="1">
      <alignment horizontal="center" vertical="center"/>
    </xf>
    <xf numFmtId="3" fontId="78" fillId="0" borderId="42" xfId="0" applyNumberFormat="1" applyFont="1" applyBorder="1" applyAlignment="1">
      <alignment horizontal="center" vertical="center"/>
    </xf>
    <xf numFmtId="9" fontId="78" fillId="0" borderId="36" xfId="0" applyNumberFormat="1" applyFont="1" applyBorder="1" applyAlignment="1">
      <alignment horizontal="center" vertical="center"/>
    </xf>
    <xf numFmtId="9" fontId="78" fillId="0" borderId="42" xfId="0" applyNumberFormat="1" applyFont="1" applyBorder="1" applyAlignment="1">
      <alignment horizontal="center" vertical="center"/>
    </xf>
    <xf numFmtId="0" fontId="78" fillId="0" borderId="35" xfId="0" pivotButton="1" applyFont="1" applyBorder="1" applyAlignment="1">
      <alignment wrapText="1"/>
    </xf>
    <xf numFmtId="0" fontId="78" fillId="0" borderId="31" xfId="0" applyFont="1" applyBorder="1"/>
    <xf numFmtId="0" fontId="78" fillId="0" borderId="32" xfId="0" applyFont="1" applyBorder="1"/>
    <xf numFmtId="1" fontId="78" fillId="0" borderId="30" xfId="0" applyNumberFormat="1" applyFont="1" applyBorder="1" applyAlignment="1">
      <alignment horizontal="center" vertical="center"/>
    </xf>
    <xf numFmtId="1" fontId="78" fillId="0" borderId="33" xfId="0" applyNumberFormat="1" applyFont="1" applyBorder="1" applyAlignment="1">
      <alignment horizontal="center" vertical="center"/>
    </xf>
    <xf numFmtId="1" fontId="78" fillId="0" borderId="36" xfId="0" applyNumberFormat="1" applyFont="1" applyBorder="1" applyAlignment="1">
      <alignment horizontal="center" vertical="center"/>
    </xf>
    <xf numFmtId="1" fontId="78" fillId="0" borderId="34" xfId="0" applyNumberFormat="1" applyFont="1" applyBorder="1" applyAlignment="1">
      <alignment horizontal="center" vertical="center"/>
    </xf>
    <xf numFmtId="1" fontId="78" fillId="0" borderId="0" xfId="0" applyNumberFormat="1" applyFont="1" applyAlignment="1">
      <alignment horizontal="center" vertical="center"/>
    </xf>
    <xf numFmtId="1" fontId="78" fillId="0" borderId="37" xfId="0" applyNumberFormat="1" applyFont="1" applyBorder="1" applyAlignment="1">
      <alignment horizontal="center" vertical="center"/>
    </xf>
    <xf numFmtId="1" fontId="78" fillId="0" borderId="41" xfId="0" applyNumberFormat="1" applyFont="1" applyBorder="1" applyAlignment="1">
      <alignment horizontal="center" vertical="center"/>
    </xf>
    <xf numFmtId="1" fontId="78" fillId="0" borderId="43" xfId="0" applyNumberFormat="1" applyFont="1" applyBorder="1" applyAlignment="1">
      <alignment horizontal="center" vertical="center"/>
    </xf>
    <xf numFmtId="1" fontId="78" fillId="0" borderId="42" xfId="0" applyNumberFormat="1" applyFont="1" applyBorder="1" applyAlignment="1">
      <alignment horizontal="center" vertical="center"/>
    </xf>
    <xf numFmtId="0" fontId="78" fillId="0" borderId="34" xfId="0" applyFont="1" applyBorder="1" applyAlignment="1">
      <alignment wrapText="1"/>
    </xf>
    <xf numFmtId="9" fontId="78" fillId="0" borderId="37" xfId="0" applyNumberFormat="1" applyFont="1" applyBorder="1" applyAlignment="1">
      <alignment horizontal="center" vertical="center"/>
    </xf>
    <xf numFmtId="0" fontId="78" fillId="0" borderId="41" xfId="0" applyFont="1" applyBorder="1" applyAlignment="1">
      <alignment wrapText="1"/>
    </xf>
    <xf numFmtId="0" fontId="78" fillId="0" borderId="35" xfId="0" applyFont="1" applyBorder="1" applyAlignment="1">
      <alignment horizontal="center" vertical="center"/>
    </xf>
    <xf numFmtId="0" fontId="27" fillId="6" borderId="18" xfId="0" applyFont="1" applyFill="1" applyBorder="1" applyAlignment="1">
      <alignment horizontal="center" vertical="center"/>
    </xf>
    <xf numFmtId="0" fontId="27" fillId="6" borderId="19" xfId="0" applyFont="1" applyFill="1" applyBorder="1" applyAlignment="1">
      <alignment horizontal="center" vertical="center"/>
    </xf>
    <xf numFmtId="0" fontId="27" fillId="6" borderId="20" xfId="0" applyFont="1" applyFill="1" applyBorder="1" applyAlignment="1">
      <alignment horizontal="center" vertical="center"/>
    </xf>
    <xf numFmtId="0" fontId="30" fillId="6" borderId="2"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1" fillId="5" borderId="27" xfId="0" applyFont="1" applyFill="1" applyBorder="1" applyAlignment="1">
      <alignment horizontal="left" vertical="center"/>
    </xf>
    <xf numFmtId="0" fontId="31" fillId="5" borderId="21" xfId="0" applyFont="1" applyFill="1" applyBorder="1" applyAlignment="1">
      <alignment horizontal="left" vertical="center"/>
    </xf>
    <xf numFmtId="0" fontId="31" fillId="5" borderId="22" xfId="0" applyFont="1" applyFill="1" applyBorder="1" applyAlignment="1">
      <alignment horizontal="left" vertical="center"/>
    </xf>
    <xf numFmtId="0" fontId="20" fillId="3" borderId="39" xfId="5" applyFont="1" applyFill="1" applyBorder="1" applyAlignment="1">
      <alignment horizontal="center" wrapText="1"/>
    </xf>
    <xf numFmtId="0" fontId="20" fillId="3" borderId="40" xfId="5" applyFont="1" applyFill="1" applyBorder="1" applyAlignment="1">
      <alignment horizontal="center" wrapText="1"/>
    </xf>
    <xf numFmtId="0" fontId="27" fillId="6" borderId="27" xfId="5" applyFont="1" applyFill="1" applyBorder="1" applyAlignment="1">
      <alignment horizontal="center" vertical="center"/>
    </xf>
    <xf numFmtId="0" fontId="27" fillId="6" borderId="21" xfId="5" applyFont="1" applyFill="1" applyBorder="1" applyAlignment="1">
      <alignment horizontal="center" vertical="center"/>
    </xf>
    <xf numFmtId="0" fontId="27" fillId="6" borderId="28" xfId="5" applyFont="1" applyFill="1" applyBorder="1" applyAlignment="1">
      <alignment horizontal="center" vertical="center"/>
    </xf>
    <xf numFmtId="0" fontId="50" fillId="2" borderId="0" xfId="5" applyFont="1" applyFill="1" applyAlignment="1">
      <alignment horizontal="left" vertical="center" wrapText="1"/>
    </xf>
    <xf numFmtId="0" fontId="20" fillId="3" borderId="39" xfId="20" applyFont="1" applyFill="1" applyBorder="1" applyAlignment="1">
      <alignment horizontal="center" wrapText="1"/>
    </xf>
    <xf numFmtId="0" fontId="20" fillId="3" borderId="40" xfId="20" applyFont="1" applyFill="1" applyBorder="1" applyAlignment="1">
      <alignment horizontal="center" wrapText="1"/>
    </xf>
    <xf numFmtId="165" fontId="42" fillId="10" borderId="0" xfId="4" applyFont="1" applyFill="1" applyAlignment="1">
      <alignment horizontal="center" vertical="center"/>
    </xf>
    <xf numFmtId="165" fontId="18" fillId="5" borderId="122" xfId="4" applyFont="1" applyFill="1" applyBorder="1" applyAlignment="1">
      <alignment horizontal="center" vertical="center"/>
    </xf>
    <xf numFmtId="165" fontId="18" fillId="5" borderId="120" xfId="4" applyFont="1" applyFill="1" applyBorder="1" applyAlignment="1">
      <alignment horizontal="center" vertical="center"/>
    </xf>
    <xf numFmtId="165" fontId="43" fillId="2" borderId="0" xfId="4" applyFont="1" applyFill="1" applyAlignment="1">
      <alignment horizontal="left" vertical="center"/>
    </xf>
    <xf numFmtId="165" fontId="44" fillId="2" borderId="0" xfId="4" applyFont="1" applyFill="1" applyAlignment="1">
      <alignment horizontal="left" vertical="center"/>
    </xf>
    <xf numFmtId="165" fontId="38" fillId="5" borderId="101" xfId="4" applyFont="1" applyFill="1" applyBorder="1" applyAlignment="1">
      <alignment horizontal="center" vertical="center"/>
    </xf>
    <xf numFmtId="165" fontId="38" fillId="5" borderId="151" xfId="4" applyFont="1" applyFill="1" applyBorder="1" applyAlignment="1">
      <alignment horizontal="center" vertical="center"/>
    </xf>
    <xf numFmtId="165" fontId="0" fillId="2" borderId="148" xfId="4" applyFont="1" applyFill="1" applyBorder="1" applyAlignment="1">
      <alignment horizontal="right" vertical="center"/>
    </xf>
    <xf numFmtId="165" fontId="0" fillId="2" borderId="96" xfId="4" applyFont="1" applyFill="1" applyBorder="1" applyAlignment="1">
      <alignment horizontal="right" vertical="center"/>
    </xf>
    <xf numFmtId="165" fontId="0" fillId="2" borderId="147" xfId="4" applyFont="1" applyFill="1" applyBorder="1" applyAlignment="1">
      <alignment horizontal="right" vertical="center"/>
    </xf>
    <xf numFmtId="165" fontId="0" fillId="2" borderId="62" xfId="4" applyFont="1" applyFill="1" applyBorder="1" applyAlignment="1">
      <alignment horizontal="right" vertical="center"/>
    </xf>
    <xf numFmtId="165" fontId="0" fillId="2" borderId="149" xfId="4" applyFont="1" applyFill="1" applyBorder="1" applyAlignment="1">
      <alignment horizontal="right" vertical="center"/>
    </xf>
    <xf numFmtId="165" fontId="0" fillId="2" borderId="81" xfId="4" applyFont="1" applyFill="1" applyBorder="1" applyAlignment="1">
      <alignment horizontal="right" vertical="center"/>
    </xf>
    <xf numFmtId="165" fontId="66" fillId="2" borderId="160" xfId="4" applyFont="1" applyFill="1" applyBorder="1" applyAlignment="1">
      <alignment horizontal="right" vertical="center" wrapText="1"/>
    </xf>
    <xf numFmtId="165" fontId="66" fillId="2" borderId="161" xfId="4" applyFont="1" applyFill="1" applyBorder="1" applyAlignment="1">
      <alignment horizontal="right" vertical="center" wrapText="1"/>
    </xf>
    <xf numFmtId="165" fontId="66" fillId="2" borderId="147" xfId="4" applyFont="1" applyFill="1" applyBorder="1" applyAlignment="1">
      <alignment horizontal="right" vertical="center" wrapText="1"/>
    </xf>
    <xf numFmtId="165" fontId="66" fillId="2" borderId="62" xfId="4" applyFont="1" applyFill="1" applyBorder="1" applyAlignment="1">
      <alignment horizontal="right" vertical="center" wrapText="1"/>
    </xf>
    <xf numFmtId="165" fontId="66" fillId="2" borderId="149" xfId="4" applyFont="1" applyFill="1" applyBorder="1" applyAlignment="1">
      <alignment horizontal="right" vertical="center" wrapText="1"/>
    </xf>
    <xf numFmtId="165" fontId="66" fillId="2" borderId="81" xfId="4" applyFont="1" applyFill="1" applyBorder="1" applyAlignment="1">
      <alignment horizontal="right" vertical="center" wrapText="1"/>
    </xf>
    <xf numFmtId="0" fontId="20" fillId="3" borderId="104"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0" fillId="3" borderId="6" xfId="0" applyFont="1" applyFill="1" applyBorder="1" applyAlignment="1" applyProtection="1">
      <alignment horizontal="center" vertical="center" wrapText="1"/>
      <protection locked="0"/>
    </xf>
    <xf numFmtId="0" fontId="20" fillId="3" borderId="24" xfId="0" applyFont="1" applyFill="1" applyBorder="1" applyAlignment="1" applyProtection="1">
      <alignment horizontal="center" vertical="center" wrapText="1"/>
      <protection locked="0"/>
    </xf>
    <xf numFmtId="2" fontId="28" fillId="6" borderId="23" xfId="0" applyNumberFormat="1" applyFont="1" applyFill="1" applyBorder="1" applyAlignment="1" applyProtection="1">
      <alignment horizontal="center" vertical="center"/>
      <protection locked="0"/>
    </xf>
    <xf numFmtId="2" fontId="28" fillId="6" borderId="10" xfId="0" applyNumberFormat="1" applyFont="1" applyFill="1" applyBorder="1" applyAlignment="1" applyProtection="1">
      <alignment horizontal="center" vertical="center"/>
      <protection locked="0"/>
    </xf>
    <xf numFmtId="2" fontId="71" fillId="6" borderId="10" xfId="0" applyNumberFormat="1" applyFont="1" applyFill="1" applyBorder="1" applyAlignment="1" applyProtection="1">
      <alignment horizontal="center" vertical="center"/>
      <protection locked="0"/>
    </xf>
    <xf numFmtId="2" fontId="71" fillId="6" borderId="11" xfId="0" applyNumberFormat="1" applyFont="1" applyFill="1" applyBorder="1" applyAlignment="1" applyProtection="1">
      <alignment horizontal="center" vertical="center"/>
      <protection locked="0"/>
    </xf>
    <xf numFmtId="0" fontId="24" fillId="5" borderId="4" xfId="0" applyFont="1" applyFill="1" applyBorder="1" applyAlignment="1" applyProtection="1">
      <alignment horizontal="center" vertical="center"/>
      <protection locked="0"/>
    </xf>
    <xf numFmtId="0" fontId="24" fillId="5" borderId="8"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35" fillId="5" borderId="24" xfId="0" applyFont="1" applyFill="1" applyBorder="1" applyAlignment="1" applyProtection="1">
      <alignment horizontal="center" vertical="center"/>
      <protection locked="0"/>
    </xf>
    <xf numFmtId="0" fontId="35" fillId="5" borderId="8" xfId="0" applyFont="1" applyFill="1" applyBorder="1" applyAlignment="1" applyProtection="1">
      <alignment horizontal="center" vertical="center"/>
      <protection locked="0"/>
    </xf>
    <xf numFmtId="0" fontId="35" fillId="5" borderId="6"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wrapText="1"/>
      <protection locked="0"/>
    </xf>
    <xf numFmtId="0" fontId="20" fillId="4" borderId="104" xfId="0" applyFont="1" applyFill="1" applyBorder="1" applyAlignment="1" applyProtection="1">
      <alignment horizontal="center" vertical="center" wrapText="1"/>
      <protection locked="0"/>
    </xf>
    <xf numFmtId="0" fontId="20" fillId="4" borderId="6" xfId="0" applyFont="1" applyFill="1" applyBorder="1" applyAlignment="1" applyProtection="1">
      <alignment horizontal="center" vertical="center" wrapText="1"/>
      <protection locked="0"/>
    </xf>
    <xf numFmtId="0" fontId="20" fillId="6" borderId="24" xfId="0" applyFont="1" applyFill="1" applyBorder="1" applyAlignment="1" applyProtection="1">
      <alignment horizontal="center" vertical="center" wrapText="1"/>
      <protection locked="0"/>
    </xf>
    <xf numFmtId="0" fontId="20" fillId="6" borderId="104" xfId="0" applyFont="1" applyFill="1" applyBorder="1" applyAlignment="1" applyProtection="1">
      <alignment horizontal="center" vertical="center" wrapText="1"/>
      <protection locked="0"/>
    </xf>
    <xf numFmtId="0" fontId="23" fillId="4" borderId="101" xfId="0" applyFont="1" applyFill="1" applyBorder="1" applyAlignment="1" applyProtection="1">
      <alignment horizontal="center" vertical="center"/>
      <protection locked="0"/>
    </xf>
    <xf numFmtId="0" fontId="23" fillId="4" borderId="102" xfId="0" applyFont="1" applyFill="1" applyBorder="1" applyAlignment="1" applyProtection="1">
      <alignment horizontal="center" vertical="center"/>
      <protection locked="0"/>
    </xf>
    <xf numFmtId="0" fontId="23" fillId="4" borderId="103" xfId="0" applyFont="1" applyFill="1" applyBorder="1" applyAlignment="1" applyProtection="1">
      <alignment horizontal="center" vertical="center"/>
      <protection locked="0"/>
    </xf>
    <xf numFmtId="0" fontId="23" fillId="6" borderId="101" xfId="0" applyFont="1" applyFill="1" applyBorder="1" applyAlignment="1" applyProtection="1">
      <alignment horizontal="center" vertical="center"/>
      <protection locked="0"/>
    </xf>
    <xf numFmtId="0" fontId="23" fillId="6" borderId="102" xfId="0" applyFont="1" applyFill="1" applyBorder="1" applyAlignment="1" applyProtection="1">
      <alignment horizontal="center" vertical="center"/>
      <protection locked="0"/>
    </xf>
    <xf numFmtId="0" fontId="23" fillId="6" borderId="103" xfId="0" applyFont="1" applyFill="1" applyBorder="1" applyAlignment="1" applyProtection="1">
      <alignment horizontal="center" vertical="center"/>
      <protection locked="0"/>
    </xf>
    <xf numFmtId="9" fontId="20" fillId="4" borderId="101" xfId="0" applyNumberFormat="1" applyFont="1" applyFill="1" applyBorder="1" applyAlignment="1" applyProtection="1">
      <alignment horizontal="center" vertical="center" wrapText="1"/>
      <protection locked="0"/>
    </xf>
    <xf numFmtId="9" fontId="20" fillId="4" borderId="102" xfId="0" applyNumberFormat="1" applyFont="1" applyFill="1" applyBorder="1" applyAlignment="1" applyProtection="1">
      <alignment horizontal="center" vertical="center" wrapText="1"/>
      <protection locked="0"/>
    </xf>
    <xf numFmtId="9" fontId="20" fillId="4" borderId="103" xfId="0" applyNumberFormat="1" applyFont="1" applyFill="1" applyBorder="1" applyAlignment="1" applyProtection="1">
      <alignment horizontal="center" vertical="center" wrapText="1"/>
      <protection locked="0"/>
    </xf>
    <xf numFmtId="3" fontId="54" fillId="8" borderId="47" xfId="21" applyNumberFormat="1" applyFont="1" applyFill="1" applyBorder="1" applyAlignment="1" applyProtection="1">
      <alignment horizontal="center" vertical="center"/>
      <protection locked="0"/>
    </xf>
    <xf numFmtId="0" fontId="53" fillId="2" borderId="99" xfId="24" applyFont="1" applyFill="1" applyBorder="1" applyAlignment="1">
      <alignment horizontal="center" vertical="center" textRotation="90" wrapText="1"/>
    </xf>
    <xf numFmtId="0" fontId="53" fillId="2" borderId="74" xfId="24" applyFont="1" applyFill="1" applyBorder="1" applyAlignment="1">
      <alignment horizontal="center" vertical="center" textRotation="90" wrapText="1"/>
    </xf>
    <xf numFmtId="0" fontId="53" fillId="2" borderId="100" xfId="24" applyFont="1" applyFill="1" applyBorder="1" applyAlignment="1">
      <alignment horizontal="center" vertical="center" textRotation="90" wrapText="1"/>
    </xf>
    <xf numFmtId="0" fontId="56" fillId="3" borderId="101" xfId="21" applyFont="1" applyFill="1" applyBorder="1" applyAlignment="1" applyProtection="1">
      <alignment horizontal="center" vertical="center"/>
      <protection locked="0"/>
    </xf>
    <xf numFmtId="0" fontId="56" fillId="3" borderId="102" xfId="21" applyFont="1" applyFill="1" applyBorder="1" applyAlignment="1" applyProtection="1">
      <alignment horizontal="center" vertical="center"/>
      <protection locked="0"/>
    </xf>
    <xf numFmtId="0" fontId="56" fillId="3" borderId="103" xfId="21" applyFont="1" applyFill="1" applyBorder="1" applyAlignment="1" applyProtection="1">
      <alignment horizontal="center" vertical="center"/>
      <protection locked="0"/>
    </xf>
    <xf numFmtId="0" fontId="54" fillId="8" borderId="101" xfId="21" applyFont="1" applyFill="1" applyBorder="1" applyAlignment="1" applyProtection="1">
      <alignment horizontal="center" vertical="center"/>
      <protection locked="0"/>
    </xf>
    <xf numFmtId="0" fontId="54" fillId="8" borderId="102" xfId="21" applyFont="1" applyFill="1" applyBorder="1" applyAlignment="1" applyProtection="1">
      <alignment horizontal="center" vertical="center"/>
      <protection locked="0"/>
    </xf>
    <xf numFmtId="0" fontId="54" fillId="8" borderId="104" xfId="21" applyFont="1" applyFill="1" applyBorder="1" applyAlignment="1" applyProtection="1">
      <alignment horizontal="center" vertical="center"/>
      <protection locked="0"/>
    </xf>
    <xf numFmtId="0" fontId="54" fillId="8" borderId="103" xfId="21" applyFont="1" applyFill="1" applyBorder="1" applyAlignment="1" applyProtection="1">
      <alignment horizontal="center" vertical="center"/>
      <protection locked="0"/>
    </xf>
    <xf numFmtId="0" fontId="54" fillId="8" borderId="162" xfId="21" applyFont="1" applyFill="1" applyBorder="1" applyAlignment="1" applyProtection="1">
      <alignment horizontal="center" vertical="center"/>
      <protection locked="0"/>
    </xf>
    <xf numFmtId="0" fontId="54" fillId="8" borderId="47" xfId="21" applyFont="1" applyFill="1" applyBorder="1" applyAlignment="1" applyProtection="1">
      <alignment horizontal="center" vertical="center"/>
      <protection locked="0"/>
    </xf>
    <xf numFmtId="0" fontId="54" fillId="8" borderId="163" xfId="21" applyFont="1" applyFill="1" applyBorder="1" applyAlignment="1" applyProtection="1">
      <alignment horizontal="center" vertical="center"/>
      <protection locked="0"/>
    </xf>
    <xf numFmtId="0" fontId="54" fillId="8" borderId="102" xfId="21" applyFont="1" applyFill="1" applyBorder="1" applyAlignment="1" applyProtection="1">
      <alignment horizontal="center" vertical="center" wrapText="1"/>
      <protection locked="0"/>
    </xf>
    <xf numFmtId="0" fontId="54" fillId="8" borderId="103" xfId="21" applyFont="1" applyFill="1" applyBorder="1" applyAlignment="1" applyProtection="1">
      <alignment horizontal="center" vertical="center" wrapText="1"/>
      <protection locked="0"/>
    </xf>
  </cellXfs>
  <cellStyles count="55">
    <cellStyle name="Comma" xfId="1" builtinId="3"/>
    <cellStyle name="Comma 2" xfId="6"/>
    <cellStyle name="Comma 2 2" xfId="9"/>
    <cellStyle name="Comma 2 2 2" xfId="22"/>
    <cellStyle name="Comma 2 2 2 2" xfId="33"/>
    <cellStyle name="Comma 2 2 2 3" xfId="38"/>
    <cellStyle name="Comma 2 2 2 4" xfId="43"/>
    <cellStyle name="Comma 2 2 2 5" xfId="50"/>
    <cellStyle name="Comma 2 2 3" xfId="29"/>
    <cellStyle name="Comma 2 3" xfId="11"/>
    <cellStyle name="Comma 2 4" xfId="26"/>
    <cellStyle name="Comma 3" xfId="12"/>
    <cellStyle name="Comma 4" xfId="13"/>
    <cellStyle name="Comma 4 10" xfId="14"/>
    <cellStyle name="Normal" xfId="0" builtinId="0"/>
    <cellStyle name="Normal 2" xfId="2"/>
    <cellStyle name="Normal 2 2" xfId="16"/>
    <cellStyle name="Normal 2 3" xfId="15"/>
    <cellStyle name="Normal 3" xfId="4"/>
    <cellStyle name="Normal 3 2" xfId="20"/>
    <cellStyle name="Normal 3 2 2" xfId="24"/>
    <cellStyle name="Normal 3 2 2 2" xfId="35"/>
    <cellStyle name="Normal 3 2 2 3" xfId="40"/>
    <cellStyle name="Normal 3 2 2 4" xfId="47"/>
    <cellStyle name="Normal 3 2 2 5" xfId="54"/>
    <cellStyle name="Normal 3 2 3" xfId="31"/>
    <cellStyle name="Normal 4" xfId="5"/>
    <cellStyle name="Normal 4 2" xfId="8"/>
    <cellStyle name="Normal 4 2 2" xfId="21"/>
    <cellStyle name="Normal 4 2 2 2" xfId="32"/>
    <cellStyle name="Normal 4 2 2 2 2" xfId="46"/>
    <cellStyle name="Normal 4 2 2 2 2 2" xfId="52"/>
    <cellStyle name="Normal 4 2 2 3" xfId="37"/>
    <cellStyle name="Normal 4 2 2 3 2" xfId="45"/>
    <cellStyle name="Normal 4 2 2 3 3" xfId="53"/>
    <cellStyle name="Normal 4 2 2 4" xfId="42"/>
    <cellStyle name="Normal 4 2 2 5" xfId="49"/>
    <cellStyle name="Normal 4 2 3" xfId="28"/>
    <cellStyle name="Normal 4 3" xfId="17"/>
    <cellStyle name="Normal 4 4" xfId="25"/>
    <cellStyle name="Normal 5" xfId="18"/>
    <cellStyle name="Normal 6" xfId="19"/>
    <cellStyle name="Normal 7" xfId="36"/>
    <cellStyle name="Normal 8" xfId="41"/>
    <cellStyle name="Normal 9" xfId="48"/>
    <cellStyle name="Percent" xfId="3" builtinId="5"/>
    <cellStyle name="Percent 2" xfId="7"/>
    <cellStyle name="Percent 2 2" xfId="10"/>
    <cellStyle name="Percent 2 2 2" xfId="23"/>
    <cellStyle name="Percent 2 2 2 2" xfId="34"/>
    <cellStyle name="Percent 2 2 2 3" xfId="39"/>
    <cellStyle name="Percent 2 2 2 4" xfId="44"/>
    <cellStyle name="Percent 2 2 2 5" xfId="51"/>
    <cellStyle name="Percent 2 2 3" xfId="30"/>
    <cellStyle name="Percent 2 3" xfId="27"/>
  </cellStyles>
  <dxfs count="295">
    <dxf>
      <font>
        <color rgb="FF9C0006"/>
      </font>
      <fill>
        <patternFill>
          <bgColor rgb="FFFFC7CE"/>
        </patternFill>
      </fill>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wrapText="1" readingOrder="0"/>
    </dxf>
    <dxf>
      <alignment wrapText="1" readingOrder="0"/>
    </dxf>
    <dxf>
      <numFmt numFmtId="13" formatCode="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center" readingOrder="0"/>
    </dxf>
    <dxf>
      <numFmt numFmtId="13" formatCode="0%"/>
    </dxf>
    <dxf>
      <numFmt numFmtId="1" formatCode="0"/>
    </dxf>
    <dxf>
      <alignment horizontal="center" readingOrder="0"/>
    </dxf>
    <dxf>
      <numFmt numFmtId="13" formatCode="0%"/>
    </dxf>
    <dxf>
      <numFmt numFmtId="13" formatCode="0%"/>
    </dxf>
    <dxf>
      <alignment wrapText="1" readingOrder="0"/>
    </dxf>
    <dxf>
      <alignment wrapText="1" readingOrder="0"/>
    </dxf>
    <dxf>
      <numFmt numFmtId="3" formatCode="#,##0"/>
    </dxf>
    <dxf>
      <alignment horizontal="center" readingOrder="0"/>
    </dxf>
    <dxf>
      <numFmt numFmtId="13" formatCode="0%"/>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alignment wrapText="1" readingOrder="0"/>
    </dxf>
    <dxf>
      <alignment wrapText="1" readingOrder="0"/>
    </dxf>
    <dxf>
      <numFmt numFmtId="13" formatCode="0%"/>
    </dxf>
    <dxf>
      <numFmt numFmtId="1" formatCode="0"/>
    </dxf>
    <dxf>
      <alignment horizontal="center" readingOrder="0"/>
    </dxf>
    <dxf>
      <numFmt numFmtId="13" formatCode="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horizontal="center" readingOrder="0"/>
    </dxf>
    <dxf>
      <numFmt numFmtId="1" formatCode="0"/>
    </dxf>
    <dxf>
      <numFmt numFmtId="1" formatCode="0"/>
    </dxf>
    <dxf>
      <alignment wrapText="1" readingOrder="0"/>
    </dxf>
    <dxf>
      <alignment wrapText="1" readingOrder="0"/>
    </dxf>
    <dxf>
      <alignment horizontal="center" readingOrder="0"/>
    </dxf>
    <dxf>
      <numFmt numFmtId="13" formatCode="0%"/>
    </dxf>
    <dxf>
      <numFmt numFmtId="1" formatCode="0"/>
    </dxf>
    <dxf>
      <alignment horizontal="center"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numFmt numFmtId="13" formatCode="0%"/>
    </dxf>
    <dxf>
      <alignment horizontal="center" readingOrder="0"/>
    </dxf>
    <dxf>
      <alignment horizontal="center" readingOrder="0"/>
    </dxf>
    <dxf>
      <alignment horizontal="center" readingOrder="0"/>
    </dxf>
    <dxf>
      <numFmt numFmtId="1" formatCode="0"/>
    </dxf>
    <dxf>
      <numFmt numFmtId="1" formatCode="0"/>
    </dxf>
    <dxf>
      <alignment horizontal="center" readingOrder="0"/>
    </dxf>
    <dxf>
      <numFmt numFmtId="13" formatCode="0%"/>
    </dxf>
    <dxf>
      <alignment wrapText="1" readingOrder="0"/>
    </dxf>
    <dxf>
      <alignment wrapText="1" readingOrder="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vertical="center" readingOrder="0"/>
    </dxf>
    <dxf>
      <alignment horizontal="center" readingOrder="0"/>
    </dxf>
    <dxf>
      <numFmt numFmtId="1" formatCode="0"/>
    </dxf>
    <dxf>
      <alignment wrapText="1" readingOrder="0"/>
    </dxf>
    <dxf>
      <alignment wrapText="1" readingOrder="0"/>
    </dxf>
    <dxf>
      <alignment horizontal="center" readingOrder="0"/>
    </dxf>
    <dxf>
      <numFmt numFmtId="13" formatCode="0%"/>
    </dxf>
    <dxf>
      <numFmt numFmtId="1" formatCode="0"/>
    </dxf>
    <dxf>
      <alignment horizontal="center" vertical="center" readingOrder="0"/>
    </dxf>
    <dxf>
      <alignment wrapText="1" readingOrder="0"/>
    </dxf>
    <dxf>
      <numFmt numFmtId="1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numFmt numFmtId="13" formatCode="0%"/>
    </dxf>
    <dxf>
      <numFmt numFmtId="1" formatCode="0"/>
    </dxf>
    <dxf>
      <alignment horizontal="center" readingOrder="0"/>
    </dxf>
    <dxf>
      <numFmt numFmtId="13" formatCode="0%"/>
    </dxf>
    <dxf>
      <numFmt numFmtId="1" formatCode="0"/>
    </dxf>
    <dxf>
      <alignment horizontal="center" readingOrder="0"/>
    </dxf>
    <dxf>
      <numFmt numFmtId="13" formatCode="0%"/>
    </dxf>
    <dxf>
      <font>
        <sz val="12"/>
      </font>
    </dxf>
    <dxf>
      <font>
        <i/>
      </font>
    </dxf>
    <dxf>
      <font>
        <b/>
      </font>
    </dxf>
    <dxf>
      <alignment horizontal="center" vertical="center" readingOrder="0"/>
    </dxf>
    <dxf>
      <numFmt numFmtId="13" formatCode="0%"/>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alignment horizontal="center" readingOrder="0"/>
    </dxf>
    <dxf>
      <alignment horizontal="center"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s>
  <tableStyles count="0" defaultTableStyle="TableStyleMedium2" defaultPivotStyle="PivotStyleLight16"/>
  <colors>
    <mruColors>
      <color rgb="FFFFFFCC"/>
      <color rgb="FFCCFFCC"/>
      <color rgb="FFCC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2016.xlsx]SituationAnalysis!PivotTable26</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Community management organisation in camps</a:t>
            </a:r>
          </a:p>
        </c:rich>
      </c:tx>
      <c:layout>
        <c:manualLayout>
          <c:xMode val="edge"/>
          <c:yMode val="edge"/>
          <c:x val="0.1560757998033751"/>
          <c:y val="5.839399445698658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dLbl>
          <c:idx val="0"/>
          <c:layout>
            <c:manualLayout>
              <c:x val="-9.8666072161112922E-2"/>
              <c:y val="-1.3863632009502462E-2"/>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dLbl>
          <c:idx val="0"/>
          <c:layout>
            <c:manualLayout>
              <c:x val="-9.8666072161112922E-2"/>
              <c:y val="-1.3863632009502462E-2"/>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381686825229324E-2"/>
          <c:y val="0.26382541343171262"/>
          <c:w val="0.57909426270169839"/>
          <c:h val="0.63799056586458158"/>
        </c:manualLayout>
      </c:layout>
      <c:pie3DChart>
        <c:varyColors val="1"/>
        <c:ser>
          <c:idx val="0"/>
          <c:order val="0"/>
          <c:tx>
            <c:strRef>
              <c:f>SituationAnalysis!$C$421</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Lbls>
            <c:dLbl>
              <c:idx val="1"/>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SituationAnalysis!$B$422:$B$424</c:f>
              <c:strCache>
                <c:ptCount val="2"/>
                <c:pt idx="0">
                  <c:v>Functional and efficient</c:v>
                </c:pt>
                <c:pt idx="1">
                  <c:v>Set up but low results </c:v>
                </c:pt>
              </c:strCache>
            </c:strRef>
          </c:cat>
          <c:val>
            <c:numRef>
              <c:f>SituationAnalysis!$C$422:$C$424</c:f>
              <c:numCache>
                <c:formatCode>#,##0</c:formatCode>
                <c:ptCount val="2"/>
                <c:pt idx="0">
                  <c:v>86</c:v>
                </c:pt>
                <c:pt idx="1">
                  <c:v>54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2016.xlsx]SituationAnalysis!PivotTable18</c:name>
    <c:fmtId val="1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Type of latrine coverage</a:t>
            </a:r>
          </a:p>
        </c:rich>
      </c:tx>
      <c:layout>
        <c:manualLayout>
          <c:xMode val="edge"/>
          <c:yMode val="edge"/>
          <c:x val="0.3044783687753316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868391451068621E-2"/>
          <c:y val="0.10326176853792557"/>
          <c:w val="0.88712553787919368"/>
          <c:h val="0.5121856530523613"/>
        </c:manualLayout>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SituationAnalysis!$C$253:$C$272</c:f>
              <c:numCache>
                <c:formatCode>0%</c:formatCode>
                <c:ptCount val="19"/>
                <c:pt idx="0">
                  <c:v>0.60798054919908462</c:v>
                </c:pt>
                <c:pt idx="1">
                  <c:v>0.43842168194499803</c:v>
                </c:pt>
                <c:pt idx="2">
                  <c:v>0.74840144564915212</c:v>
                </c:pt>
                <c:pt idx="3">
                  <c:v>0</c:v>
                </c:pt>
                <c:pt idx="4">
                  <c:v>0.18753726893261777</c:v>
                </c:pt>
                <c:pt idx="5">
                  <c:v>0.67463982268193567</c:v>
                </c:pt>
                <c:pt idx="6">
                  <c:v>0.2484472049689441</c:v>
                </c:pt>
                <c:pt idx="7">
                  <c:v>0.79757085020242913</c:v>
                </c:pt>
                <c:pt idx="8">
                  <c:v>1</c:v>
                </c:pt>
                <c:pt idx="9">
                  <c:v>0.90447100953183424</c:v>
                </c:pt>
                <c:pt idx="10">
                  <c:v>0.65395095367847411</c:v>
                </c:pt>
                <c:pt idx="11">
                  <c:v>0.84330578512396692</c:v>
                </c:pt>
                <c:pt idx="12">
                  <c:v>0.4655847789591494</c:v>
                </c:pt>
                <c:pt idx="13">
                  <c:v>1</c:v>
                </c:pt>
                <c:pt idx="14">
                  <c:v>0.64516129032258063</c:v>
                </c:pt>
                <c:pt idx="15">
                  <c:v>0.64189189189189189</c:v>
                </c:pt>
                <c:pt idx="16">
                  <c:v>0.28333333333333333</c:v>
                </c:pt>
                <c:pt idx="17">
                  <c:v>0.4193101979987226</c:v>
                </c:pt>
                <c:pt idx="18">
                  <c:v>0.34351145038167941</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SituationAnalysis!$D$253:$D$272</c:f>
              <c:numCache>
                <c:formatCode>0%</c:formatCode>
                <c:ptCount val="19"/>
                <c:pt idx="0">
                  <c:v>0.21209954233409611</c:v>
                </c:pt>
                <c:pt idx="1">
                  <c:v>0.47030689517736152</c:v>
                </c:pt>
                <c:pt idx="2">
                  <c:v>1.0286349735891022E-2</c:v>
                </c:pt>
                <c:pt idx="3">
                  <c:v>0</c:v>
                </c:pt>
                <c:pt idx="4">
                  <c:v>0.78115682766845562</c:v>
                </c:pt>
                <c:pt idx="5">
                  <c:v>0.20613224972294053</c:v>
                </c:pt>
                <c:pt idx="6">
                  <c:v>0.75155279503105588</c:v>
                </c:pt>
                <c:pt idx="7">
                  <c:v>0.16194331983805668</c:v>
                </c:pt>
                <c:pt idx="8">
                  <c:v>0</c:v>
                </c:pt>
                <c:pt idx="9">
                  <c:v>6.7618094686397387E-2</c:v>
                </c:pt>
                <c:pt idx="10">
                  <c:v>0.34604904632152589</c:v>
                </c:pt>
                <c:pt idx="11">
                  <c:v>3.8181818181818185E-2</c:v>
                </c:pt>
                <c:pt idx="12">
                  <c:v>0.29099048684946838</c:v>
                </c:pt>
                <c:pt idx="13">
                  <c:v>0</c:v>
                </c:pt>
                <c:pt idx="14">
                  <c:v>0.35483870967741937</c:v>
                </c:pt>
                <c:pt idx="15">
                  <c:v>0.33445945945945943</c:v>
                </c:pt>
                <c:pt idx="16">
                  <c:v>3.3333333333333333E-2</c:v>
                </c:pt>
                <c:pt idx="17">
                  <c:v>0.46870342771982115</c:v>
                </c:pt>
                <c:pt idx="18">
                  <c:v>0.58587786259541985</c:v>
                </c:pt>
              </c:numCache>
            </c:numRef>
          </c:val>
        </c:ser>
        <c:dLbls>
          <c:showLegendKey val="0"/>
          <c:showVal val="0"/>
          <c:showCatName val="0"/>
          <c:showSerName val="0"/>
          <c:showPercent val="0"/>
          <c:showBubbleSize val="0"/>
        </c:dLbls>
        <c:gapWidth val="150"/>
        <c:shape val="box"/>
        <c:axId val="624517752"/>
        <c:axId val="530006656"/>
        <c:axId val="0"/>
      </c:bar3DChart>
      <c:catAx>
        <c:axId val="624517752"/>
        <c:scaling>
          <c:orientation val="minMax"/>
        </c:scaling>
        <c:delete val="0"/>
        <c:axPos val="b"/>
        <c:numFmt formatCode="General" sourceLinked="1"/>
        <c:majorTickMark val="none"/>
        <c:minorTickMark val="none"/>
        <c:tickLblPos val="nextTo"/>
        <c:spPr>
          <a:noFill/>
          <a:ln>
            <a:noFill/>
          </a:ln>
          <a:effectLst/>
        </c:spPr>
        <c:txPr>
          <a:bodyPr rot="-348000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530006656"/>
        <c:crosses val="autoZero"/>
        <c:auto val="1"/>
        <c:lblAlgn val="ctr"/>
        <c:lblOffset val="100"/>
        <c:noMultiLvlLbl val="0"/>
      </c:catAx>
      <c:valAx>
        <c:axId val="53000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624517752"/>
        <c:crosses val="autoZero"/>
        <c:crossBetween val="between"/>
      </c:valAx>
      <c:spPr>
        <a:noFill/>
        <a:ln>
          <a:noFill/>
        </a:ln>
        <a:effectLst/>
      </c:spPr>
    </c:plotArea>
    <c:legend>
      <c:legendPos val="b"/>
      <c:layout>
        <c:manualLayout>
          <c:xMode val="edge"/>
          <c:yMode val="edge"/>
          <c:x val="5.7601728355384151E-2"/>
          <c:y val="0.88247738816820565"/>
          <c:w val="0.88479618619101186"/>
          <c:h val="0.1175226118317943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2016.xlsx]SituationAnalysis!PivotTable27</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Gender consideration for latrines</a:t>
            </a:r>
          </a:p>
        </c:rich>
      </c:tx>
      <c:layout>
        <c:manualLayout>
          <c:xMode val="edge"/>
          <c:yMode val="edge"/>
          <c:x val="0.21927264228957677"/>
          <c:y val="3.2552017954277451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dLbl>
          <c:idx val="0"/>
          <c:layout>
            <c:manualLayout>
              <c:x val="-0.12113436162945383"/>
              <c:y val="2.5318574308646202E-3"/>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manualLayout>
                  <c:w val="6.5433789954337906E-2"/>
                  <c:h val="0.12874434173989122"/>
                </c:manualLayout>
              </c15:layout>
            </c:ext>
          </c:extLst>
        </c:dLbl>
      </c:pivotFmt>
      <c:pivotFmt>
        <c:idx val="36"/>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625930320353791E-2"/>
          <c:y val="0.22364106660580471"/>
          <c:w val="0.54192535864523783"/>
          <c:h val="0.61832173152268999"/>
        </c:manualLayout>
      </c:layout>
      <c:pie3DChart>
        <c:varyColors val="1"/>
        <c:ser>
          <c:idx val="0"/>
          <c:order val="0"/>
          <c:tx>
            <c:strRef>
              <c:f>SituationAnalysis!$C$440</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SituationAnalysis!$B$441:$B$445</c:f>
              <c:strCache>
                <c:ptCount val="4"/>
                <c:pt idx="0">
                  <c:v>Latrine shared by families , not separated</c:v>
                </c:pt>
                <c:pt idx="1">
                  <c:v>Not separated yet</c:v>
                </c:pt>
                <c:pt idx="2">
                  <c:v>Separate, but not clearly perceived</c:v>
                </c:pt>
                <c:pt idx="3">
                  <c:v>Separate, clearly perceived</c:v>
                </c:pt>
              </c:strCache>
            </c:strRef>
          </c:cat>
          <c:val>
            <c:numRef>
              <c:f>SituationAnalysis!$C$441:$C$445</c:f>
              <c:numCache>
                <c:formatCode>0</c:formatCode>
                <c:ptCount val="4"/>
                <c:pt idx="0">
                  <c:v>70</c:v>
                </c:pt>
                <c:pt idx="1">
                  <c:v>37</c:v>
                </c:pt>
                <c:pt idx="2">
                  <c:v>5</c:v>
                </c:pt>
                <c:pt idx="3">
                  <c:v>28</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2016.xlsx]SituationAnalysis!PivotTable15</c:name>
    <c:fmtId val="20"/>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Number of latrine possible to be build vs space</a:t>
            </a:r>
          </a:p>
        </c:rich>
      </c:tx>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7.9476446177048757E-2"/>
          <c:y val="0.18789953530865675"/>
          <c:w val="0.90233746398744941"/>
          <c:h val="0.46583063917492129"/>
        </c:manualLayout>
      </c:layout>
      <c:bar3DChart>
        <c:barDir val="col"/>
        <c:grouping val="stacked"/>
        <c:varyColors val="0"/>
        <c:ser>
          <c:idx val="0"/>
          <c:order val="0"/>
          <c:tx>
            <c:strRef>
              <c:f>SituationAnalysis!$C$194:$C$195</c:f>
              <c:strCache>
                <c:ptCount val="1"/>
                <c:pt idx="0">
                  <c:v>GCA</c:v>
                </c:pt>
              </c:strCache>
            </c:strRef>
          </c:tx>
          <c:spPr>
            <a:solidFill>
              <a:schemeClr val="accent1"/>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SituationAnalysis!$C$196:$C$215</c:f>
              <c:numCache>
                <c:formatCode>0</c:formatCode>
                <c:ptCount val="19"/>
                <c:pt idx="0">
                  <c:v>177.3</c:v>
                </c:pt>
                <c:pt idx="1">
                  <c:v>29.700000000000003</c:v>
                </c:pt>
                <c:pt idx="2">
                  <c:v>45.250000000000007</c:v>
                </c:pt>
                <c:pt idx="3">
                  <c:v>0.85</c:v>
                </c:pt>
                <c:pt idx="4">
                  <c:v>221.90000000000003</c:v>
                </c:pt>
                <c:pt idx="5">
                  <c:v>227.30000000000004</c:v>
                </c:pt>
                <c:pt idx="6">
                  <c:v>16.100000000000001</c:v>
                </c:pt>
                <c:pt idx="7">
                  <c:v>6.65</c:v>
                </c:pt>
                <c:pt idx="8">
                  <c:v>4.6500000000000004</c:v>
                </c:pt>
                <c:pt idx="9">
                  <c:v>150.15000000000003</c:v>
                </c:pt>
                <c:pt idx="10">
                  <c:v>8.35</c:v>
                </c:pt>
                <c:pt idx="11">
                  <c:v>47.4</c:v>
                </c:pt>
                <c:pt idx="12">
                  <c:v>63.75</c:v>
                </c:pt>
                <c:pt idx="13">
                  <c:v>0.95</c:v>
                </c:pt>
                <c:pt idx="14">
                  <c:v>5.8000000000000007</c:v>
                </c:pt>
                <c:pt idx="15">
                  <c:v>12.200000000000001</c:v>
                </c:pt>
                <c:pt idx="16">
                  <c:v>43</c:v>
                </c:pt>
                <c:pt idx="17">
                  <c:v>56.95</c:v>
                </c:pt>
                <c:pt idx="18">
                  <c:v>17.2</c:v>
                </c:pt>
              </c:numCache>
            </c:numRef>
          </c:val>
        </c:ser>
        <c:ser>
          <c:idx val="1"/>
          <c:order val="1"/>
          <c:tx>
            <c:strRef>
              <c:f>SituationAnalysis!$D$194:$D$195</c:f>
              <c:strCache>
                <c:ptCount val="1"/>
                <c:pt idx="0">
                  <c:v>NGCA</c:v>
                </c:pt>
              </c:strCache>
            </c:strRef>
          </c:tx>
          <c:spPr>
            <a:solidFill>
              <a:schemeClr val="accent2"/>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SituationAnalysis!$D$196:$D$215</c:f>
              <c:numCache>
                <c:formatCode>0</c:formatCode>
                <c:ptCount val="19"/>
                <c:pt idx="1">
                  <c:v>41</c:v>
                </c:pt>
                <c:pt idx="5">
                  <c:v>83.050000000000011</c:v>
                </c:pt>
                <c:pt idx="9">
                  <c:v>81.8</c:v>
                </c:pt>
                <c:pt idx="10">
                  <c:v>42.3</c:v>
                </c:pt>
                <c:pt idx="13">
                  <c:v>22.3</c:v>
                </c:pt>
                <c:pt idx="15">
                  <c:v>0.39999999999999991</c:v>
                </c:pt>
                <c:pt idx="17">
                  <c:v>235.54999999999998</c:v>
                </c:pt>
              </c:numCache>
            </c:numRef>
          </c:val>
        </c:ser>
        <c:dLbls>
          <c:showLegendKey val="0"/>
          <c:showVal val="0"/>
          <c:showCatName val="0"/>
          <c:showSerName val="0"/>
          <c:showPercent val="0"/>
          <c:showBubbleSize val="0"/>
        </c:dLbls>
        <c:gapWidth val="150"/>
        <c:shape val="box"/>
        <c:axId val="530007832"/>
        <c:axId val="530008224"/>
        <c:axId val="0"/>
      </c:bar3DChart>
      <c:catAx>
        <c:axId val="530007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530008224"/>
        <c:crosses val="autoZero"/>
        <c:auto val="1"/>
        <c:lblAlgn val="ctr"/>
        <c:lblOffset val="100"/>
        <c:noMultiLvlLbl val="0"/>
      </c:catAx>
      <c:valAx>
        <c:axId val="530008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530007832"/>
        <c:crosses val="autoZero"/>
        <c:crossBetween val="between"/>
      </c:valAx>
      <c:spPr>
        <a:noFill/>
        <a:ln>
          <a:noFill/>
        </a:ln>
        <a:effectLst/>
      </c:spPr>
    </c:plotArea>
    <c:legend>
      <c:legendPos val="b"/>
      <c:layout>
        <c:manualLayout>
          <c:xMode val="edge"/>
          <c:yMode val="edge"/>
          <c:x val="0.34460854193173301"/>
          <c:y val="0.83704941390158549"/>
          <c:w val="0.20805558551756373"/>
          <c:h val="0.1200569264022941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SituationAnalysis!$B$14:$B$16</c:f>
              <c:strCache>
                <c:ptCount val="2"/>
                <c:pt idx="0">
                  <c:v>GCA</c:v>
                </c:pt>
                <c:pt idx="1">
                  <c:v>NGCA</c:v>
                </c:pt>
              </c:strCache>
            </c:strRef>
          </c:cat>
          <c:val>
            <c:numRef>
              <c:f>SituationAnalysis!$C$14:$C$16</c:f>
              <c:numCache>
                <c:formatCode>0%</c:formatCode>
                <c:ptCount val="2"/>
                <c:pt idx="0">
                  <c:v>0.95970609522011385</c:v>
                </c:pt>
                <c:pt idx="1">
                  <c:v>0.97027248613455508</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SituationAnalysis!$B$14:$B$16</c:f>
              <c:strCache>
                <c:ptCount val="2"/>
                <c:pt idx="0">
                  <c:v>GCA</c:v>
                </c:pt>
                <c:pt idx="1">
                  <c:v>NGCA</c:v>
                </c:pt>
              </c:strCache>
            </c:strRef>
          </c:cat>
          <c:val>
            <c:numRef>
              <c:f>SituationAnalysis!$D$14:$D$16</c:f>
              <c:numCache>
                <c:formatCode>0%</c:formatCode>
                <c:ptCount val="2"/>
                <c:pt idx="0">
                  <c:v>0.83824223543849707</c:v>
                </c:pt>
                <c:pt idx="1">
                  <c:v>0.9787396511534443</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SituationAnalysis!$B$14:$B$16</c:f>
              <c:strCache>
                <c:ptCount val="2"/>
                <c:pt idx="0">
                  <c:v>GCA</c:v>
                </c:pt>
                <c:pt idx="1">
                  <c:v>NGCA</c:v>
                </c:pt>
              </c:strCache>
            </c:strRef>
          </c:cat>
          <c:val>
            <c:numRef>
              <c:f>SituationAnalysis!$E$14:$E$16</c:f>
              <c:numCache>
                <c:formatCode>0%</c:formatCode>
                <c:ptCount val="2"/>
                <c:pt idx="0">
                  <c:v>0.56195128858680266</c:v>
                </c:pt>
                <c:pt idx="1">
                  <c:v>0.54465075154730325</c:v>
                </c:pt>
              </c:numCache>
            </c:numRef>
          </c:val>
        </c:ser>
        <c:dLbls>
          <c:showLegendKey val="0"/>
          <c:showVal val="1"/>
          <c:showCatName val="0"/>
          <c:showSerName val="0"/>
          <c:showPercent val="0"/>
          <c:showBubbleSize val="0"/>
        </c:dLbls>
        <c:gapWidth val="150"/>
        <c:shape val="box"/>
        <c:axId val="631407344"/>
        <c:axId val="631407736"/>
        <c:axId val="0"/>
      </c:bar3DChart>
      <c:catAx>
        <c:axId val="631407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407736"/>
        <c:crosses val="autoZero"/>
        <c:auto val="1"/>
        <c:lblAlgn val="ctr"/>
        <c:lblOffset val="100"/>
        <c:noMultiLvlLbl val="0"/>
      </c:catAx>
      <c:valAx>
        <c:axId val="631407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40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2016.xlsx]SituationAnalysis!PivotTable5</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SituationAnalysis!$C$32</c:f>
              <c:strCache>
                <c:ptCount val="1"/>
                <c:pt idx="0">
                  <c:v>% Water Need coverage</c:v>
                </c:pt>
              </c:strCache>
            </c:strRef>
          </c:tx>
          <c:spPr>
            <a:solidFill>
              <a:schemeClr val="accent1"/>
            </a:solidFill>
            <a:ln>
              <a:noFill/>
            </a:ln>
            <a:effectLst/>
            <a:sp3d/>
          </c:spPr>
          <c:invertIfNegative val="0"/>
          <c:cat>
            <c:strRef>
              <c:f>SituationAnalysis!$B$33:$B$52</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SituationAnalysis!$C$33:$C$52</c:f>
              <c:numCache>
                <c:formatCode>0%</c:formatCode>
                <c:ptCount val="19"/>
                <c:pt idx="0">
                  <c:v>1</c:v>
                </c:pt>
                <c:pt idx="1">
                  <c:v>0.70518931845356714</c:v>
                </c:pt>
                <c:pt idx="2">
                  <c:v>0.9330923918079882</c:v>
                </c:pt>
                <c:pt idx="3">
                  <c:v>0</c:v>
                </c:pt>
                <c:pt idx="4">
                  <c:v>0.9435499900616181</c:v>
                </c:pt>
                <c:pt idx="5">
                  <c:v>1</c:v>
                </c:pt>
                <c:pt idx="6">
                  <c:v>1</c:v>
                </c:pt>
                <c:pt idx="7">
                  <c:v>1</c:v>
                </c:pt>
                <c:pt idx="8">
                  <c:v>1</c:v>
                </c:pt>
                <c:pt idx="9">
                  <c:v>1</c:v>
                </c:pt>
                <c:pt idx="10">
                  <c:v>0.83560399636693916</c:v>
                </c:pt>
                <c:pt idx="11">
                  <c:v>1</c:v>
                </c:pt>
                <c:pt idx="12">
                  <c:v>1</c:v>
                </c:pt>
                <c:pt idx="13">
                  <c:v>1</c:v>
                </c:pt>
                <c:pt idx="14">
                  <c:v>1</c:v>
                </c:pt>
                <c:pt idx="15">
                  <c:v>1</c:v>
                </c:pt>
                <c:pt idx="16">
                  <c:v>0</c:v>
                </c:pt>
                <c:pt idx="17">
                  <c:v>1</c:v>
                </c:pt>
                <c:pt idx="18">
                  <c:v>1</c:v>
                </c:pt>
              </c:numCache>
            </c:numRef>
          </c:val>
        </c:ser>
        <c:ser>
          <c:idx val="1"/>
          <c:order val="1"/>
          <c:tx>
            <c:strRef>
              <c:f>SituationAnalysis!$D$32</c:f>
              <c:strCache>
                <c:ptCount val="1"/>
                <c:pt idx="0">
                  <c:v>%  Latrine need coverage</c:v>
                </c:pt>
              </c:strCache>
            </c:strRef>
          </c:tx>
          <c:spPr>
            <a:solidFill>
              <a:schemeClr val="accent2"/>
            </a:solidFill>
            <a:ln>
              <a:noFill/>
            </a:ln>
            <a:effectLst/>
            <a:sp3d/>
          </c:spPr>
          <c:invertIfNegative val="0"/>
          <c:cat>
            <c:strRef>
              <c:f>SituationAnalysis!$B$33:$B$52</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SituationAnalysis!$D$33:$D$52</c:f>
              <c:numCache>
                <c:formatCode>0%</c:formatCode>
                <c:ptCount val="19"/>
                <c:pt idx="0">
                  <c:v>0.82008009153318073</c:v>
                </c:pt>
                <c:pt idx="1">
                  <c:v>0.90872857712235955</c:v>
                </c:pt>
                <c:pt idx="2">
                  <c:v>0.75868779538504305</c:v>
                </c:pt>
                <c:pt idx="3">
                  <c:v>0</c:v>
                </c:pt>
                <c:pt idx="4">
                  <c:v>0.96869409660107331</c:v>
                </c:pt>
                <c:pt idx="5">
                  <c:v>0.88077207240487621</c:v>
                </c:pt>
                <c:pt idx="6">
                  <c:v>1</c:v>
                </c:pt>
                <c:pt idx="7">
                  <c:v>0.95951417004048578</c:v>
                </c:pt>
                <c:pt idx="8">
                  <c:v>1</c:v>
                </c:pt>
                <c:pt idx="9">
                  <c:v>0.97208910421823158</c:v>
                </c:pt>
                <c:pt idx="10">
                  <c:v>1</c:v>
                </c:pt>
                <c:pt idx="11">
                  <c:v>0.88148760330578513</c:v>
                </c:pt>
                <c:pt idx="12">
                  <c:v>0.75657526580861778</c:v>
                </c:pt>
                <c:pt idx="13">
                  <c:v>1</c:v>
                </c:pt>
                <c:pt idx="14">
                  <c:v>1</c:v>
                </c:pt>
                <c:pt idx="15">
                  <c:v>0.97635135135135132</c:v>
                </c:pt>
                <c:pt idx="16">
                  <c:v>0.31666666666666665</c:v>
                </c:pt>
                <c:pt idx="17">
                  <c:v>0.8880136257185437</c:v>
                </c:pt>
                <c:pt idx="18">
                  <c:v>0.92938931297709926</c:v>
                </c:pt>
              </c:numCache>
            </c:numRef>
          </c:val>
        </c:ser>
        <c:ser>
          <c:idx val="2"/>
          <c:order val="2"/>
          <c:tx>
            <c:strRef>
              <c:f>SituationAnalysis!$E$32</c:f>
              <c:strCache>
                <c:ptCount val="1"/>
                <c:pt idx="0">
                  <c:v>% Bathroom need coverage</c:v>
                </c:pt>
              </c:strCache>
            </c:strRef>
          </c:tx>
          <c:spPr>
            <a:solidFill>
              <a:schemeClr val="accent3"/>
            </a:solidFill>
            <a:ln>
              <a:noFill/>
            </a:ln>
            <a:effectLst/>
            <a:sp3d/>
          </c:spPr>
          <c:invertIfNegative val="0"/>
          <c:cat>
            <c:strRef>
              <c:f>SituationAnalysis!$B$33:$B$52</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SituationAnalysis!$E$33:$E$52</c:f>
              <c:numCache>
                <c:formatCode>0%</c:formatCode>
                <c:ptCount val="19"/>
                <c:pt idx="0">
                  <c:v>0.49284897025171626</c:v>
                </c:pt>
                <c:pt idx="1">
                  <c:v>0.69709047429254678</c:v>
                </c:pt>
                <c:pt idx="2">
                  <c:v>0.69168751737559075</c:v>
                </c:pt>
                <c:pt idx="3">
                  <c:v>0</c:v>
                </c:pt>
                <c:pt idx="4">
                  <c:v>0.40667859272510437</c:v>
                </c:pt>
                <c:pt idx="5">
                  <c:v>0.37005910602142594</c:v>
                </c:pt>
                <c:pt idx="6">
                  <c:v>1</c:v>
                </c:pt>
                <c:pt idx="7">
                  <c:v>0.90688259109311742</c:v>
                </c:pt>
                <c:pt idx="8">
                  <c:v>1</c:v>
                </c:pt>
                <c:pt idx="9">
                  <c:v>0.62609932065932905</c:v>
                </c:pt>
                <c:pt idx="10">
                  <c:v>1</c:v>
                </c:pt>
                <c:pt idx="11">
                  <c:v>0.63471074380165293</c:v>
                </c:pt>
                <c:pt idx="12">
                  <c:v>0.78343592613318414</c:v>
                </c:pt>
                <c:pt idx="13">
                  <c:v>1</c:v>
                </c:pt>
                <c:pt idx="14">
                  <c:v>0.64516129032258063</c:v>
                </c:pt>
                <c:pt idx="15">
                  <c:v>0.88513513513513509</c:v>
                </c:pt>
                <c:pt idx="16">
                  <c:v>0</c:v>
                </c:pt>
                <c:pt idx="17">
                  <c:v>0.5714285714285714</c:v>
                </c:pt>
                <c:pt idx="18">
                  <c:v>0</c:v>
                </c:pt>
              </c:numCache>
            </c:numRef>
          </c:val>
        </c:ser>
        <c:dLbls>
          <c:showLegendKey val="0"/>
          <c:showVal val="0"/>
          <c:showCatName val="0"/>
          <c:showSerName val="0"/>
          <c:showPercent val="0"/>
          <c:showBubbleSize val="0"/>
        </c:dLbls>
        <c:gapWidth val="150"/>
        <c:shape val="box"/>
        <c:axId val="631408520"/>
        <c:axId val="621936528"/>
        <c:axId val="0"/>
      </c:bar3DChart>
      <c:catAx>
        <c:axId val="631408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936528"/>
        <c:crosses val="autoZero"/>
        <c:auto val="1"/>
        <c:lblAlgn val="ctr"/>
        <c:lblOffset val="100"/>
        <c:noMultiLvlLbl val="0"/>
      </c:catAx>
      <c:valAx>
        <c:axId val="621936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40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1"/>
          </a:solidFill>
          <a:ln>
            <a:noFill/>
          </a:ln>
          <a:effectLst/>
          <a:sp3d/>
        </c:spPr>
        <c:marker>
          <c:symbol val="none"/>
        </c:marker>
      </c:pivotFmt>
      <c:pivotFmt>
        <c:idx val="2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SituationAnalysis!$C$63</c:f>
              <c:strCache>
                <c:ptCount val="1"/>
                <c:pt idx="0">
                  <c:v>% Water Need coverage</c:v>
                </c:pt>
              </c:strCache>
            </c:strRef>
          </c:tx>
          <c:spPr>
            <a:solidFill>
              <a:schemeClr val="accent1"/>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SituationAnalysis!$C$64:$C$74</c:f>
              <c:numCache>
                <c:formatCode>0%</c:formatCode>
                <c:ptCount val="10"/>
                <c:pt idx="0">
                  <c:v>0.9330923918079882</c:v>
                </c:pt>
                <c:pt idx="1">
                  <c:v>0.51519326065411286</c:v>
                </c:pt>
                <c:pt idx="2">
                  <c:v>1</c:v>
                </c:pt>
                <c:pt idx="3">
                  <c:v>1</c:v>
                </c:pt>
                <c:pt idx="4">
                  <c:v>1</c:v>
                </c:pt>
                <c:pt idx="5">
                  <c:v>1</c:v>
                </c:pt>
                <c:pt idx="6">
                  <c:v>1</c:v>
                </c:pt>
                <c:pt idx="7">
                  <c:v>0.98970420932878278</c:v>
                </c:pt>
                <c:pt idx="8">
                  <c:v>0.95117758294653598</c:v>
                </c:pt>
                <c:pt idx="9">
                  <c:v>1</c:v>
                </c:pt>
              </c:numCache>
            </c:numRef>
          </c:val>
        </c:ser>
        <c:ser>
          <c:idx val="1"/>
          <c:order val="1"/>
          <c:tx>
            <c:strRef>
              <c:f>SituationAnalysis!$D$63</c:f>
              <c:strCache>
                <c:ptCount val="1"/>
                <c:pt idx="0">
                  <c:v>% Latrine need coverage</c:v>
                </c:pt>
              </c:strCache>
            </c:strRef>
          </c:tx>
          <c:spPr>
            <a:solidFill>
              <a:schemeClr val="accent2"/>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SituationAnalysis!$D$64:$D$74</c:f>
              <c:numCache>
                <c:formatCode>0%</c:formatCode>
                <c:ptCount val="10"/>
                <c:pt idx="0">
                  <c:v>0.75868779538504305</c:v>
                </c:pt>
                <c:pt idx="1">
                  <c:v>0.73587710604558965</c:v>
                </c:pt>
                <c:pt idx="2">
                  <c:v>0.83871261852662293</c:v>
                </c:pt>
                <c:pt idx="3">
                  <c:v>0.97389033942558745</c:v>
                </c:pt>
                <c:pt idx="4">
                  <c:v>0.85903781429419912</c:v>
                </c:pt>
                <c:pt idx="5">
                  <c:v>1</c:v>
                </c:pt>
                <c:pt idx="6">
                  <c:v>0.92998987617786777</c:v>
                </c:pt>
                <c:pt idx="7">
                  <c:v>0.79436860068259385</c:v>
                </c:pt>
                <c:pt idx="8">
                  <c:v>0.96338318720990201</c:v>
                </c:pt>
                <c:pt idx="9">
                  <c:v>1</c:v>
                </c:pt>
              </c:numCache>
            </c:numRef>
          </c:val>
        </c:ser>
        <c:ser>
          <c:idx val="2"/>
          <c:order val="2"/>
          <c:tx>
            <c:strRef>
              <c:f>SituationAnalysis!$E$63</c:f>
              <c:strCache>
                <c:ptCount val="1"/>
                <c:pt idx="0">
                  <c:v>% Bathroom need coverage</c:v>
                </c:pt>
              </c:strCache>
            </c:strRef>
          </c:tx>
          <c:spPr>
            <a:solidFill>
              <a:schemeClr val="accent3"/>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SituationAnalysis!$E$64:$E$74</c:f>
              <c:numCache>
                <c:formatCode>0%</c:formatCode>
                <c:ptCount val="10"/>
                <c:pt idx="0">
                  <c:v>0.69168751737559075</c:v>
                </c:pt>
                <c:pt idx="1">
                  <c:v>0.48290386521308226</c:v>
                </c:pt>
                <c:pt idx="2">
                  <c:v>0.56601021152443476</c:v>
                </c:pt>
                <c:pt idx="3">
                  <c:v>0.93994778067885121</c:v>
                </c:pt>
                <c:pt idx="4">
                  <c:v>0.63126113640863191</c:v>
                </c:pt>
                <c:pt idx="5">
                  <c:v>0.65668505384817444</c:v>
                </c:pt>
                <c:pt idx="6">
                  <c:v>0.41188380967214394</c:v>
                </c:pt>
                <c:pt idx="7">
                  <c:v>0.50631399317406145</c:v>
                </c:pt>
                <c:pt idx="8">
                  <c:v>0.35172769468798348</c:v>
                </c:pt>
                <c:pt idx="9">
                  <c:v>1</c:v>
                </c:pt>
              </c:numCache>
            </c:numRef>
          </c:val>
        </c:ser>
        <c:dLbls>
          <c:showLegendKey val="0"/>
          <c:showVal val="0"/>
          <c:showCatName val="0"/>
          <c:showSerName val="0"/>
          <c:showPercent val="0"/>
          <c:showBubbleSize val="0"/>
        </c:dLbls>
        <c:gapWidth val="150"/>
        <c:shape val="box"/>
        <c:axId val="621937312"/>
        <c:axId val="621937704"/>
        <c:axId val="0"/>
      </c:bar3DChart>
      <c:catAx>
        <c:axId val="621937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937704"/>
        <c:crosses val="autoZero"/>
        <c:auto val="1"/>
        <c:lblAlgn val="ctr"/>
        <c:lblOffset val="100"/>
        <c:noMultiLvlLbl val="0"/>
      </c:catAx>
      <c:valAx>
        <c:axId val="621937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93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2016.xlsx]SituationAnalysis!PivotTable12</c:name>
    <c:fmtId val="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1"/>
          </a:solidFill>
          <a:ln>
            <a:noFill/>
          </a:ln>
          <a:effectLst/>
          <a:sp3d/>
        </c:spPr>
        <c:marker>
          <c:symbol val="none"/>
        </c:marker>
      </c:pivotFmt>
      <c:pivotFmt>
        <c:idx val="2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SituationAnalysis!$C$118</c:f>
              <c:strCache>
                <c:ptCount val="1"/>
                <c:pt idx="0">
                  <c:v>% Water Need coverage</c:v>
                </c:pt>
              </c:strCache>
            </c:strRef>
          </c:tx>
          <c:spPr>
            <a:solidFill>
              <a:schemeClr val="accent1"/>
            </a:solidFill>
            <a:ln>
              <a:noFill/>
            </a:ln>
            <a:effectLst/>
            <a:sp3d/>
          </c:spPr>
          <c:invertIfNegative val="0"/>
          <c:cat>
            <c:strRef>
              <c:f>SituationAnalysis!$B$119:$B$124</c:f>
              <c:strCache>
                <c:ptCount val="5"/>
                <c:pt idx="0">
                  <c:v>1. Small</c:v>
                </c:pt>
                <c:pt idx="1">
                  <c:v>2. Medium</c:v>
                </c:pt>
                <c:pt idx="2">
                  <c:v>3. Large</c:v>
                </c:pt>
                <c:pt idx="3">
                  <c:v>4. Big</c:v>
                </c:pt>
                <c:pt idx="4">
                  <c:v>5. Massive</c:v>
                </c:pt>
              </c:strCache>
            </c:strRef>
          </c:cat>
          <c:val>
            <c:numRef>
              <c:f>SituationAnalysis!$C$119:$C$124</c:f>
              <c:numCache>
                <c:formatCode>0%</c:formatCode>
                <c:ptCount val="5"/>
                <c:pt idx="0">
                  <c:v>0.99011461928501432</c:v>
                </c:pt>
                <c:pt idx="1">
                  <c:v>0.92471709502176191</c:v>
                </c:pt>
                <c:pt idx="2">
                  <c:v>1</c:v>
                </c:pt>
                <c:pt idx="3">
                  <c:v>1</c:v>
                </c:pt>
                <c:pt idx="4">
                  <c:v>1</c:v>
                </c:pt>
              </c:numCache>
            </c:numRef>
          </c:val>
        </c:ser>
        <c:ser>
          <c:idx val="1"/>
          <c:order val="1"/>
          <c:tx>
            <c:strRef>
              <c:f>SituationAnalysis!$D$118</c:f>
              <c:strCache>
                <c:ptCount val="1"/>
                <c:pt idx="0">
                  <c:v>% Latrine need coverage</c:v>
                </c:pt>
              </c:strCache>
            </c:strRef>
          </c:tx>
          <c:spPr>
            <a:solidFill>
              <a:schemeClr val="accent2"/>
            </a:solidFill>
            <a:ln>
              <a:noFill/>
            </a:ln>
            <a:effectLst/>
            <a:sp3d/>
          </c:spPr>
          <c:invertIfNegative val="0"/>
          <c:cat>
            <c:strRef>
              <c:f>SituationAnalysis!$B$119:$B$124</c:f>
              <c:strCache>
                <c:ptCount val="5"/>
                <c:pt idx="0">
                  <c:v>1. Small</c:v>
                </c:pt>
                <c:pt idx="1">
                  <c:v>2. Medium</c:v>
                </c:pt>
                <c:pt idx="2">
                  <c:v>3. Large</c:v>
                </c:pt>
                <c:pt idx="3">
                  <c:v>4. Big</c:v>
                </c:pt>
                <c:pt idx="4">
                  <c:v>5. Massive</c:v>
                </c:pt>
              </c:strCache>
            </c:strRef>
          </c:cat>
          <c:val>
            <c:numRef>
              <c:f>SituationAnalysis!$D$119:$D$124</c:f>
              <c:numCache>
                <c:formatCode>0%</c:formatCode>
                <c:ptCount val="5"/>
                <c:pt idx="0">
                  <c:v>0.89109037453662276</c:v>
                </c:pt>
                <c:pt idx="1">
                  <c:v>0.83943832004320618</c:v>
                </c:pt>
                <c:pt idx="2">
                  <c:v>0.96231046931407938</c:v>
                </c:pt>
                <c:pt idx="3">
                  <c:v>0.90771799347347648</c:v>
                </c:pt>
                <c:pt idx="4">
                  <c:v>1</c:v>
                </c:pt>
              </c:numCache>
            </c:numRef>
          </c:val>
        </c:ser>
        <c:ser>
          <c:idx val="2"/>
          <c:order val="2"/>
          <c:tx>
            <c:strRef>
              <c:f>SituationAnalysis!$E$118</c:f>
              <c:strCache>
                <c:ptCount val="1"/>
                <c:pt idx="0">
                  <c:v>% Bathroom need coverage</c:v>
                </c:pt>
              </c:strCache>
            </c:strRef>
          </c:tx>
          <c:spPr>
            <a:solidFill>
              <a:schemeClr val="accent3"/>
            </a:solidFill>
            <a:ln>
              <a:noFill/>
            </a:ln>
            <a:effectLst/>
            <a:sp3d/>
          </c:spPr>
          <c:invertIfNegative val="0"/>
          <c:cat>
            <c:strRef>
              <c:f>SituationAnalysis!$B$119:$B$124</c:f>
              <c:strCache>
                <c:ptCount val="5"/>
                <c:pt idx="0">
                  <c:v>1. Small</c:v>
                </c:pt>
                <c:pt idx="1">
                  <c:v>2. Medium</c:v>
                </c:pt>
                <c:pt idx="2">
                  <c:v>3. Large</c:v>
                </c:pt>
                <c:pt idx="3">
                  <c:v>4. Big</c:v>
                </c:pt>
                <c:pt idx="4">
                  <c:v>5. Massive</c:v>
                </c:pt>
              </c:strCache>
            </c:strRef>
          </c:cat>
          <c:val>
            <c:numRef>
              <c:f>SituationAnalysis!$E$119:$E$124</c:f>
              <c:numCache>
                <c:formatCode>0%</c:formatCode>
                <c:ptCount val="5"/>
                <c:pt idx="0">
                  <c:v>0.83880864118624565</c:v>
                </c:pt>
                <c:pt idx="1">
                  <c:v>0.53953680465101506</c:v>
                </c:pt>
                <c:pt idx="2">
                  <c:v>0.37805054151624551</c:v>
                </c:pt>
                <c:pt idx="3">
                  <c:v>0.47051680959247172</c:v>
                </c:pt>
                <c:pt idx="4">
                  <c:v>0.63678043810494145</c:v>
                </c:pt>
              </c:numCache>
            </c:numRef>
          </c:val>
        </c:ser>
        <c:dLbls>
          <c:showLegendKey val="0"/>
          <c:showVal val="0"/>
          <c:showCatName val="0"/>
          <c:showSerName val="0"/>
          <c:showPercent val="0"/>
          <c:showBubbleSize val="0"/>
        </c:dLbls>
        <c:gapWidth val="150"/>
        <c:shape val="box"/>
        <c:axId val="622960136"/>
        <c:axId val="622960528"/>
        <c:axId val="0"/>
      </c:bar3DChart>
      <c:catAx>
        <c:axId val="622960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60528"/>
        <c:crosses val="autoZero"/>
        <c:auto val="1"/>
        <c:lblAlgn val="ctr"/>
        <c:lblOffset val="100"/>
        <c:noMultiLvlLbl val="0"/>
      </c:catAx>
      <c:valAx>
        <c:axId val="6229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60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2016.xlsx]SituationAnalysis!PivotTable13</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1"/>
          </a:solidFill>
          <a:ln>
            <a:noFill/>
          </a:ln>
          <a:effectLst/>
          <a:sp3d/>
        </c:spPr>
        <c:marker>
          <c:symbol val="none"/>
        </c:marker>
      </c:pivotFmt>
      <c:pivotFmt>
        <c:idx val="2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SituationAnalysis!$C$137</c:f>
              <c:strCache>
                <c:ptCount val="1"/>
                <c:pt idx="0">
                  <c:v>% Water Need coverage</c:v>
                </c:pt>
              </c:strCache>
            </c:strRef>
          </c:tx>
          <c:spPr>
            <a:solidFill>
              <a:schemeClr val="accent1"/>
            </a:solidFill>
            <a:ln>
              <a:noFill/>
            </a:ln>
            <a:effectLst/>
            <a:sp3d/>
          </c:spPr>
          <c:invertIfNegative val="0"/>
          <c:cat>
            <c:strRef>
              <c:f>SituationAnalysis!$B$138:$B$141</c:f>
              <c:strCache>
                <c:ptCount val="3"/>
                <c:pt idx="0">
                  <c:v>Camp</c:v>
                </c:pt>
                <c:pt idx="1">
                  <c:v>School</c:v>
                </c:pt>
                <c:pt idx="2">
                  <c:v>Village</c:v>
                </c:pt>
              </c:strCache>
            </c:strRef>
          </c:cat>
          <c:val>
            <c:numRef>
              <c:f>SituationAnalysis!$C$138:$C$141</c:f>
              <c:numCache>
                <c:formatCode>0%</c:formatCode>
                <c:ptCount val="3"/>
                <c:pt idx="0">
                  <c:v>0.96361534877727217</c:v>
                </c:pt>
                <c:pt idx="1">
                  <c:v>0.44714173844949101</c:v>
                </c:pt>
                <c:pt idx="2">
                  <c:v>0.48050072219547424</c:v>
                </c:pt>
              </c:numCache>
            </c:numRef>
          </c:val>
        </c:ser>
        <c:ser>
          <c:idx val="1"/>
          <c:order val="1"/>
          <c:tx>
            <c:strRef>
              <c:f>SituationAnalysis!$D$137</c:f>
              <c:strCache>
                <c:ptCount val="1"/>
                <c:pt idx="0">
                  <c:v>% Latrine need coverage</c:v>
                </c:pt>
              </c:strCache>
            </c:strRef>
          </c:tx>
          <c:spPr>
            <a:solidFill>
              <a:schemeClr val="accent2"/>
            </a:solidFill>
            <a:ln>
              <a:noFill/>
            </a:ln>
            <a:effectLst/>
            <a:sp3d/>
          </c:spPr>
          <c:invertIfNegative val="0"/>
          <c:cat>
            <c:strRef>
              <c:f>SituationAnalysis!$B$138:$B$141</c:f>
              <c:strCache>
                <c:ptCount val="3"/>
                <c:pt idx="0">
                  <c:v>Camp</c:v>
                </c:pt>
                <c:pt idx="1">
                  <c:v>School</c:v>
                </c:pt>
                <c:pt idx="2">
                  <c:v>Village</c:v>
                </c:pt>
              </c:strCache>
            </c:strRef>
          </c:cat>
          <c:val>
            <c:numRef>
              <c:f>SituationAnalysis!$D$138:$D$141</c:f>
              <c:numCache>
                <c:formatCode>0%</c:formatCode>
                <c:ptCount val="3"/>
                <c:pt idx="0">
                  <c:v>0.89022214292086721</c:v>
                </c:pt>
                <c:pt idx="1">
                  <c:v>0.34866875489428345</c:v>
                </c:pt>
                <c:pt idx="2">
                  <c:v>0.50521585620285669</c:v>
                </c:pt>
              </c:numCache>
            </c:numRef>
          </c:val>
        </c:ser>
        <c:ser>
          <c:idx val="2"/>
          <c:order val="2"/>
          <c:tx>
            <c:strRef>
              <c:f>SituationAnalysis!$E$137</c:f>
              <c:strCache>
                <c:ptCount val="1"/>
                <c:pt idx="0">
                  <c:v>% Bathroom need coverage</c:v>
                </c:pt>
              </c:strCache>
            </c:strRef>
          </c:tx>
          <c:spPr>
            <a:solidFill>
              <a:schemeClr val="accent3"/>
            </a:solidFill>
            <a:ln>
              <a:noFill/>
            </a:ln>
            <a:effectLst/>
            <a:sp3d/>
          </c:spPr>
          <c:invertIfNegative val="0"/>
          <c:cat>
            <c:strRef>
              <c:f>SituationAnalysis!$B$138:$B$141</c:f>
              <c:strCache>
                <c:ptCount val="3"/>
                <c:pt idx="0">
                  <c:v>Camp</c:v>
                </c:pt>
                <c:pt idx="1">
                  <c:v>School</c:v>
                </c:pt>
                <c:pt idx="2">
                  <c:v>Village</c:v>
                </c:pt>
              </c:strCache>
            </c:strRef>
          </c:cat>
          <c:val>
            <c:numRef>
              <c:f>SituationAnalysis!$E$138:$E$141</c:f>
              <c:numCache>
                <c:formatCode>0%</c:formatCode>
                <c:ptCount val="3"/>
                <c:pt idx="0">
                  <c:v>0.55555059922086414</c:v>
                </c:pt>
                <c:pt idx="1">
                  <c:v>0.31773688332028194</c:v>
                </c:pt>
                <c:pt idx="2">
                  <c:v>0.39624458353394321</c:v>
                </c:pt>
              </c:numCache>
            </c:numRef>
          </c:val>
        </c:ser>
        <c:dLbls>
          <c:showLegendKey val="0"/>
          <c:showVal val="0"/>
          <c:showCatName val="0"/>
          <c:showSerName val="0"/>
          <c:showPercent val="0"/>
          <c:showBubbleSize val="0"/>
        </c:dLbls>
        <c:gapWidth val="150"/>
        <c:shape val="box"/>
        <c:axId val="622961312"/>
        <c:axId val="622961704"/>
        <c:axId val="0"/>
      </c:bar3DChart>
      <c:catAx>
        <c:axId val="622961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61704"/>
        <c:crosses val="autoZero"/>
        <c:auto val="1"/>
        <c:lblAlgn val="ctr"/>
        <c:lblOffset val="100"/>
        <c:noMultiLvlLbl val="0"/>
      </c:catAx>
      <c:valAx>
        <c:axId val="622961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6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2016.xlsx]SituationAnalysis!PivotTable18</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 of latrine coverage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SituationAnalysis!$C$253:$C$272</c:f>
              <c:numCache>
                <c:formatCode>0%</c:formatCode>
                <c:ptCount val="19"/>
                <c:pt idx="0">
                  <c:v>0.60798054919908462</c:v>
                </c:pt>
                <c:pt idx="1">
                  <c:v>0.43842168194499803</c:v>
                </c:pt>
                <c:pt idx="2">
                  <c:v>0.74840144564915212</c:v>
                </c:pt>
                <c:pt idx="3">
                  <c:v>0</c:v>
                </c:pt>
                <c:pt idx="4">
                  <c:v>0.18753726893261777</c:v>
                </c:pt>
                <c:pt idx="5">
                  <c:v>0.67463982268193567</c:v>
                </c:pt>
                <c:pt idx="6">
                  <c:v>0.2484472049689441</c:v>
                </c:pt>
                <c:pt idx="7">
                  <c:v>0.79757085020242913</c:v>
                </c:pt>
                <c:pt idx="8">
                  <c:v>1</c:v>
                </c:pt>
                <c:pt idx="9">
                  <c:v>0.90447100953183424</c:v>
                </c:pt>
                <c:pt idx="10">
                  <c:v>0.65395095367847411</c:v>
                </c:pt>
                <c:pt idx="11">
                  <c:v>0.84330578512396692</c:v>
                </c:pt>
                <c:pt idx="12">
                  <c:v>0.4655847789591494</c:v>
                </c:pt>
                <c:pt idx="13">
                  <c:v>1</c:v>
                </c:pt>
                <c:pt idx="14">
                  <c:v>0.64516129032258063</c:v>
                </c:pt>
                <c:pt idx="15">
                  <c:v>0.64189189189189189</c:v>
                </c:pt>
                <c:pt idx="16">
                  <c:v>0.28333333333333333</c:v>
                </c:pt>
                <c:pt idx="17">
                  <c:v>0.4193101979987226</c:v>
                </c:pt>
                <c:pt idx="18">
                  <c:v>0.34351145038167941</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SituationAnalysis!$D$253:$D$272</c:f>
              <c:numCache>
                <c:formatCode>0%</c:formatCode>
                <c:ptCount val="19"/>
                <c:pt idx="0">
                  <c:v>0.21209954233409611</c:v>
                </c:pt>
                <c:pt idx="1">
                  <c:v>0.47030689517736152</c:v>
                </c:pt>
                <c:pt idx="2">
                  <c:v>1.0286349735891022E-2</c:v>
                </c:pt>
                <c:pt idx="3">
                  <c:v>0</c:v>
                </c:pt>
                <c:pt idx="4">
                  <c:v>0.78115682766845562</c:v>
                </c:pt>
                <c:pt idx="5">
                  <c:v>0.20613224972294053</c:v>
                </c:pt>
                <c:pt idx="6">
                  <c:v>0.75155279503105588</c:v>
                </c:pt>
                <c:pt idx="7">
                  <c:v>0.16194331983805668</c:v>
                </c:pt>
                <c:pt idx="8">
                  <c:v>0</c:v>
                </c:pt>
                <c:pt idx="9">
                  <c:v>6.7618094686397387E-2</c:v>
                </c:pt>
                <c:pt idx="10">
                  <c:v>0.34604904632152589</c:v>
                </c:pt>
                <c:pt idx="11">
                  <c:v>3.8181818181818185E-2</c:v>
                </c:pt>
                <c:pt idx="12">
                  <c:v>0.29099048684946838</c:v>
                </c:pt>
                <c:pt idx="13">
                  <c:v>0</c:v>
                </c:pt>
                <c:pt idx="14">
                  <c:v>0.35483870967741937</c:v>
                </c:pt>
                <c:pt idx="15">
                  <c:v>0.33445945945945943</c:v>
                </c:pt>
                <c:pt idx="16">
                  <c:v>3.3333333333333333E-2</c:v>
                </c:pt>
                <c:pt idx="17">
                  <c:v>0.46870342771982115</c:v>
                </c:pt>
                <c:pt idx="18">
                  <c:v>0.58587786259541985</c:v>
                </c:pt>
              </c:numCache>
            </c:numRef>
          </c:val>
        </c:ser>
        <c:dLbls>
          <c:showLegendKey val="0"/>
          <c:showVal val="0"/>
          <c:showCatName val="0"/>
          <c:showSerName val="0"/>
          <c:showPercent val="0"/>
          <c:showBubbleSize val="0"/>
        </c:dLbls>
        <c:gapWidth val="150"/>
        <c:shape val="box"/>
        <c:axId val="581184560"/>
        <c:axId val="581184952"/>
        <c:axId val="0"/>
      </c:bar3DChart>
      <c:catAx>
        <c:axId val="5811845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184952"/>
        <c:crosses val="autoZero"/>
        <c:auto val="1"/>
        <c:lblAlgn val="ctr"/>
        <c:lblOffset val="100"/>
        <c:noMultiLvlLbl val="0"/>
      </c:catAx>
      <c:valAx>
        <c:axId val="581184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18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2016.xlsx]SituationAnalysis!PivotTable20</c:name>
    <c:fmtId val="1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a:t>
            </a:r>
            <a:r>
              <a:rPr lang="en-US" b="1" baseline="0"/>
              <a:t> of latrine coverage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SituationAnalysis!$C$304</c:f>
              <c:strCache>
                <c:ptCount val="1"/>
                <c:pt idx="0">
                  <c:v>%Coverage Permanent Latrine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SituationAnalysis!$B$305:$B$307</c:f>
              <c:strCache>
                <c:ptCount val="2"/>
                <c:pt idx="0">
                  <c:v>GCA</c:v>
                </c:pt>
                <c:pt idx="1">
                  <c:v>NGCA</c:v>
                </c:pt>
              </c:strCache>
            </c:strRef>
          </c:cat>
          <c:val>
            <c:numRef>
              <c:f>SituationAnalysis!$C$305:$C$307</c:f>
              <c:numCache>
                <c:formatCode>0%</c:formatCode>
                <c:ptCount val="2"/>
                <c:pt idx="0">
                  <c:v>0.56171012637977924</c:v>
                </c:pt>
                <c:pt idx="1">
                  <c:v>0.65898198355781001</c:v>
                </c:pt>
              </c:numCache>
            </c:numRef>
          </c:val>
        </c:ser>
        <c:ser>
          <c:idx val="1"/>
          <c:order val="1"/>
          <c:tx>
            <c:strRef>
              <c:f>SituationAnalysis!$D$304</c:f>
              <c:strCache>
                <c:ptCount val="1"/>
                <c:pt idx="0">
                  <c:v>% Coverage Emergency latrine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SituationAnalysis!$B$305:$B$307</c:f>
              <c:strCache>
                <c:ptCount val="2"/>
                <c:pt idx="0">
                  <c:v>GCA</c:v>
                </c:pt>
                <c:pt idx="1">
                  <c:v>NGCA</c:v>
                </c:pt>
              </c:strCache>
            </c:strRef>
          </c:cat>
          <c:val>
            <c:numRef>
              <c:f>SituationAnalysis!$D$305:$D$307</c:f>
              <c:numCache>
                <c:formatCode>0%</c:formatCode>
                <c:ptCount val="2"/>
                <c:pt idx="0">
                  <c:v>0.20992641177411614</c:v>
                </c:pt>
                <c:pt idx="1">
                  <c:v>0.25800244883680251</c:v>
                </c:pt>
              </c:numCache>
            </c:numRef>
          </c:val>
        </c:ser>
        <c:dLbls>
          <c:showLegendKey val="0"/>
          <c:showVal val="1"/>
          <c:showCatName val="0"/>
          <c:showSerName val="0"/>
          <c:showPercent val="0"/>
          <c:showBubbleSize val="0"/>
        </c:dLbls>
        <c:gapWidth val="150"/>
        <c:shape val="box"/>
        <c:axId val="581185736"/>
        <c:axId val="195903328"/>
        <c:axId val="0"/>
      </c:bar3DChart>
      <c:catAx>
        <c:axId val="581185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03328"/>
        <c:crosses val="autoZero"/>
        <c:auto val="1"/>
        <c:lblAlgn val="ctr"/>
        <c:lblOffset val="100"/>
        <c:noMultiLvlLbl val="0"/>
      </c:catAx>
      <c:valAx>
        <c:axId val="1959033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185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2016.xlsx]SituationAnalysis!PivotTable17</c:name>
    <c:fmtId val="4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Population covered</a:t>
            </a:r>
          </a:p>
        </c:rich>
      </c:tx>
      <c:layout>
        <c:manualLayout>
          <c:xMode val="edge"/>
          <c:yMode val="edge"/>
          <c:x val="0.33871861166607908"/>
          <c:y val="9.6618283983199073E-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1"/>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078348415403298"/>
          <c:y val="0.13299544828981832"/>
          <c:w val="0.88921651584596706"/>
          <c:h val="0.62655359537936384"/>
        </c:manualLayout>
      </c:layout>
      <c:bar3DChart>
        <c:barDir val="col"/>
        <c:grouping val="stacked"/>
        <c:varyColors val="0"/>
        <c:ser>
          <c:idx val="0"/>
          <c:order val="0"/>
          <c:tx>
            <c:strRef>
              <c:f>SituationAnalysis!$C$606:$C$607</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SituationAnalysis!$B$608:$B$610</c:f>
              <c:strCache>
                <c:ptCount val="2"/>
                <c:pt idx="0">
                  <c:v>GCA</c:v>
                </c:pt>
                <c:pt idx="1">
                  <c:v>NGCA</c:v>
                </c:pt>
              </c:strCache>
            </c:strRef>
          </c:cat>
          <c:val>
            <c:numRef>
              <c:f>SituationAnalysis!$C$608:$C$610</c:f>
              <c:numCache>
                <c:formatCode>0</c:formatCode>
                <c:ptCount val="2"/>
                <c:pt idx="0">
                  <c:v>29585</c:v>
                </c:pt>
                <c:pt idx="1">
                  <c:v>21539</c:v>
                </c:pt>
              </c:numCache>
            </c:numRef>
          </c:val>
        </c:ser>
        <c:ser>
          <c:idx val="1"/>
          <c:order val="1"/>
          <c:tx>
            <c:strRef>
              <c:f>SituationAnalysis!$D$606:$D$607</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SituationAnalysis!$B$608:$B$610</c:f>
              <c:strCache>
                <c:ptCount val="2"/>
                <c:pt idx="0">
                  <c:v>GCA</c:v>
                </c:pt>
                <c:pt idx="1">
                  <c:v>NGCA</c:v>
                </c:pt>
              </c:strCache>
            </c:strRef>
          </c:cat>
          <c:val>
            <c:numRef>
              <c:f>SituationAnalysis!$D$608:$D$610</c:f>
              <c:numCache>
                <c:formatCode>0</c:formatCode>
                <c:ptCount val="2"/>
                <c:pt idx="0">
                  <c:v>20423</c:v>
                </c:pt>
                <c:pt idx="1">
                  <c:v>7046</c:v>
                </c:pt>
              </c:numCache>
            </c:numRef>
          </c:val>
        </c:ser>
        <c:dLbls>
          <c:showLegendKey val="0"/>
          <c:showVal val="1"/>
          <c:showCatName val="0"/>
          <c:showSerName val="0"/>
          <c:showPercent val="0"/>
          <c:showBubbleSize val="0"/>
        </c:dLbls>
        <c:gapWidth val="150"/>
        <c:shape val="box"/>
        <c:axId val="536675904"/>
        <c:axId val="538866832"/>
        <c:axId val="0"/>
      </c:bar3DChart>
      <c:catAx>
        <c:axId val="5366759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538866832"/>
        <c:crosses val="autoZero"/>
        <c:auto val="1"/>
        <c:lblAlgn val="ctr"/>
        <c:lblOffset val="100"/>
        <c:noMultiLvlLbl val="0"/>
      </c:catAx>
      <c:valAx>
        <c:axId val="538866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536675904"/>
        <c:crosses val="autoZero"/>
        <c:crossBetween val="between"/>
        <c:majorUnit val="10000"/>
      </c:valAx>
      <c:spPr>
        <a:noFill/>
        <a:ln>
          <a:noFill/>
        </a:ln>
        <a:effectLst/>
      </c:spPr>
    </c:plotArea>
    <c:legend>
      <c:legendPos val="b"/>
      <c:layout>
        <c:manualLayout>
          <c:xMode val="edge"/>
          <c:yMode val="edge"/>
          <c:x val="0.31046147216672543"/>
          <c:y val="0.87196403669668932"/>
          <c:w val="0.37907705566654915"/>
          <c:h val="0.1280359633033106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2016.xlsx]SituationAnalysis!PivotTable23</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SituationAnalysis!$C$350</c:f>
              <c:strCache>
                <c:ptCount val="1"/>
                <c:pt idx="0">
                  <c:v>Total</c:v>
                </c:pt>
              </c:strCache>
            </c:strRef>
          </c:tx>
          <c:spPr>
            <a:solidFill>
              <a:schemeClr val="accent1"/>
            </a:solidFill>
            <a:ln>
              <a:noFill/>
            </a:ln>
            <a:effectLst/>
            <a:sp3d/>
          </c:spPr>
          <c:invertIfNegative val="0"/>
          <c:cat>
            <c:strRef>
              <c:f>SituationAnalysis!$B$351:$B$370</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SituationAnalysis!$C$351:$C$370</c:f>
              <c:numCache>
                <c:formatCode>0%</c:formatCode>
                <c:ptCount val="19"/>
                <c:pt idx="0">
                  <c:v>0.642386173959409</c:v>
                </c:pt>
                <c:pt idx="1">
                  <c:v>0.19449980071741729</c:v>
                </c:pt>
                <c:pt idx="2">
                  <c:v>1.4234083958854601E-2</c:v>
                </c:pt>
                <c:pt idx="3">
                  <c:v>0</c:v>
                </c:pt>
                <c:pt idx="4">
                  <c:v>0.81099727748442241</c:v>
                </c:pt>
                <c:pt idx="5">
                  <c:v>6.9634281492427036E-2</c:v>
                </c:pt>
                <c:pt idx="6">
                  <c:v>0.43167701863354035</c:v>
                </c:pt>
                <c:pt idx="7">
                  <c:v>0.49932523616734142</c:v>
                </c:pt>
                <c:pt idx="8">
                  <c:v>0.59375</c:v>
                </c:pt>
                <c:pt idx="9">
                  <c:v>0.4950523142724948</c:v>
                </c:pt>
                <c:pt idx="10">
                  <c:v>0.65395095367847411</c:v>
                </c:pt>
                <c:pt idx="11">
                  <c:v>0.69951892476821065</c:v>
                </c:pt>
                <c:pt idx="12">
                  <c:v>0.46054840514829321</c:v>
                </c:pt>
                <c:pt idx="13">
                  <c:v>1</c:v>
                </c:pt>
                <c:pt idx="14">
                  <c:v>0.87912087912087911</c:v>
                </c:pt>
                <c:pt idx="15">
                  <c:v>0</c:v>
                </c:pt>
                <c:pt idx="16">
                  <c:v>0</c:v>
                </c:pt>
                <c:pt idx="17">
                  <c:v>0.21780491821475428</c:v>
                </c:pt>
                <c:pt idx="18">
                  <c:v>0.41412213740458015</c:v>
                </c:pt>
              </c:numCache>
            </c:numRef>
          </c:val>
        </c:ser>
        <c:dLbls>
          <c:showLegendKey val="0"/>
          <c:showVal val="0"/>
          <c:showCatName val="0"/>
          <c:showSerName val="0"/>
          <c:showPercent val="0"/>
          <c:showBubbleSize val="0"/>
        </c:dLbls>
        <c:gapWidth val="150"/>
        <c:shape val="box"/>
        <c:axId val="195904112"/>
        <c:axId val="195904504"/>
        <c:axId val="0"/>
      </c:bar3DChart>
      <c:catAx>
        <c:axId val="1959041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04504"/>
        <c:crosses val="autoZero"/>
        <c:auto val="1"/>
        <c:lblAlgn val="ctr"/>
        <c:lblOffset val="100"/>
        <c:noMultiLvlLbl val="0"/>
      </c:catAx>
      <c:valAx>
        <c:axId val="195904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04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2016.xlsx]SituationAnalysis!PivotTable24</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SituationAnalysis!$C$378</c:f>
              <c:strCache>
                <c:ptCount val="1"/>
                <c:pt idx="0">
                  <c:v>Total</c:v>
                </c:pt>
              </c:strCache>
            </c:strRef>
          </c:tx>
          <c:spPr>
            <a:solidFill>
              <a:schemeClr val="accent1"/>
            </a:solidFill>
            <a:ln>
              <a:noFill/>
            </a:ln>
            <a:effectLst/>
            <a:sp3d/>
          </c:spPr>
          <c:invertIfNegative val="0"/>
          <c:cat>
            <c:strRef>
              <c:f>SituationAnalysis!$B$379:$B$389</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SituationAnalysis!$C$379:$C$389</c:f>
              <c:numCache>
                <c:formatCode>0%</c:formatCode>
                <c:ptCount val="10"/>
                <c:pt idx="0">
                  <c:v>1.4234083958854601E-2</c:v>
                </c:pt>
                <c:pt idx="1">
                  <c:v>0.41176559540510843</c:v>
                </c:pt>
                <c:pt idx="2">
                  <c:v>0.53285465622280237</c:v>
                </c:pt>
                <c:pt idx="3">
                  <c:v>0.4885809366324691</c:v>
                </c:pt>
                <c:pt idx="4">
                  <c:v>0.57310386545655367</c:v>
                </c:pt>
                <c:pt idx="5">
                  <c:v>0.17071459272368469</c:v>
                </c:pt>
                <c:pt idx="6">
                  <c:v>0.27576791808873719</c:v>
                </c:pt>
                <c:pt idx="7">
                  <c:v>0.75737103369849212</c:v>
                </c:pt>
                <c:pt idx="8">
                  <c:v>0.49307479224376732</c:v>
                </c:pt>
                <c:pt idx="9">
                  <c:v>0.18843594463019639</c:v>
                </c:pt>
              </c:numCache>
            </c:numRef>
          </c:val>
        </c:ser>
        <c:dLbls>
          <c:showLegendKey val="0"/>
          <c:showVal val="0"/>
          <c:showCatName val="0"/>
          <c:showSerName val="0"/>
          <c:showPercent val="0"/>
          <c:showBubbleSize val="0"/>
        </c:dLbls>
        <c:gapWidth val="150"/>
        <c:shape val="box"/>
        <c:axId val="621861032"/>
        <c:axId val="621861424"/>
        <c:axId val="0"/>
      </c:bar3DChart>
      <c:catAx>
        <c:axId val="621861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1424"/>
        <c:crosses val="autoZero"/>
        <c:auto val="1"/>
        <c:lblAlgn val="ctr"/>
        <c:lblOffset val="100"/>
        <c:noMultiLvlLbl val="0"/>
      </c:catAx>
      <c:valAx>
        <c:axId val="62186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1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2016.xlsx]SituationAnalysis!PivotTable25</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of HH receiving monthly</a:t>
            </a:r>
            <a:r>
              <a:rPr lang="en-US" b="1" baseline="0"/>
              <a:t> HP visit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SituationAnalysis!$C$401</c:f>
              <c:strCache>
                <c:ptCount val="1"/>
                <c:pt idx="0">
                  <c:v>Total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SituationAnalysis!$B$402:$B$404</c:f>
              <c:strCache>
                <c:ptCount val="2"/>
                <c:pt idx="0">
                  <c:v>GCA</c:v>
                </c:pt>
                <c:pt idx="1">
                  <c:v>NGCA</c:v>
                </c:pt>
              </c:strCache>
            </c:strRef>
          </c:cat>
          <c:val>
            <c:numRef>
              <c:f>SituationAnalysis!$C$402:$C$404</c:f>
              <c:numCache>
                <c:formatCode>0%</c:formatCode>
                <c:ptCount val="2"/>
                <c:pt idx="0">
                  <c:v>0.37066569348904177</c:v>
                </c:pt>
                <c:pt idx="1">
                  <c:v>0.63207976211299632</c:v>
                </c:pt>
              </c:numCache>
            </c:numRef>
          </c:val>
        </c:ser>
        <c:dLbls>
          <c:showLegendKey val="0"/>
          <c:showVal val="1"/>
          <c:showCatName val="0"/>
          <c:showSerName val="0"/>
          <c:showPercent val="0"/>
          <c:showBubbleSize val="0"/>
        </c:dLbls>
        <c:gapWidth val="150"/>
        <c:shape val="box"/>
        <c:axId val="621862208"/>
        <c:axId val="621862600"/>
        <c:axId val="0"/>
      </c:bar3DChart>
      <c:catAx>
        <c:axId val="621862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2600"/>
        <c:crosses val="autoZero"/>
        <c:auto val="1"/>
        <c:lblAlgn val="ctr"/>
        <c:lblOffset val="100"/>
        <c:noMultiLvlLbl val="0"/>
      </c:catAx>
      <c:valAx>
        <c:axId val="6218626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2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2016.xlsx]SituationAnalysis!PivotTable26</c:name>
    <c:fmtId val="2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Community</a:t>
            </a:r>
            <a:r>
              <a:rPr lang="en-US" b="1" baseline="0"/>
              <a:t> management organisation in camps</a:t>
            </a:r>
            <a:endParaRPr lang="en-US" b="1"/>
          </a:p>
        </c:rich>
      </c:tx>
      <c:layout>
        <c:manualLayout>
          <c:xMode val="edge"/>
          <c:yMode val="edge"/>
          <c:x val="0.20189483560931695"/>
          <c:y val="5.839416058394160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SituationAnalysis!$C$421</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SituationAnalysis!$B$422:$B$424</c:f>
              <c:strCache>
                <c:ptCount val="2"/>
                <c:pt idx="0">
                  <c:v>Functional and efficient</c:v>
                </c:pt>
                <c:pt idx="1">
                  <c:v>Set up but low results </c:v>
                </c:pt>
              </c:strCache>
            </c:strRef>
          </c:cat>
          <c:val>
            <c:numRef>
              <c:f>SituationAnalysis!$C$422:$C$424</c:f>
              <c:numCache>
                <c:formatCode>#,##0</c:formatCode>
                <c:ptCount val="2"/>
                <c:pt idx="0">
                  <c:v>86</c:v>
                </c:pt>
                <c:pt idx="1">
                  <c:v>54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2016.xlsx]SituationAnalysis!PivotTable27</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Gender</a:t>
            </a:r>
            <a:r>
              <a:rPr lang="en-US" b="1" baseline="0"/>
              <a:t> consideration for latrines</a:t>
            </a:r>
            <a:endParaRPr lang="en-US" b="1"/>
          </a:p>
        </c:rich>
      </c:tx>
      <c:layout>
        <c:manualLayout>
          <c:xMode val="edge"/>
          <c:yMode val="edge"/>
          <c:x val="0.45214921379995354"/>
          <c:y val="9.052272080447774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SituationAnalysis!$C$440</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SituationAnalysis!$B$441:$B$445</c:f>
              <c:strCache>
                <c:ptCount val="4"/>
                <c:pt idx="0">
                  <c:v>Latrine shared by families , not separated</c:v>
                </c:pt>
                <c:pt idx="1">
                  <c:v>Not separated yet</c:v>
                </c:pt>
                <c:pt idx="2">
                  <c:v>Separate, but not clearly perceived</c:v>
                </c:pt>
                <c:pt idx="3">
                  <c:v>Separate, clearly perceived</c:v>
                </c:pt>
              </c:strCache>
            </c:strRef>
          </c:cat>
          <c:val>
            <c:numRef>
              <c:f>SituationAnalysis!$C$441:$C$445</c:f>
              <c:numCache>
                <c:formatCode>0</c:formatCode>
                <c:ptCount val="4"/>
                <c:pt idx="0">
                  <c:v>70</c:v>
                </c:pt>
                <c:pt idx="1">
                  <c:v>37</c:v>
                </c:pt>
                <c:pt idx="2">
                  <c:v>5</c:v>
                </c:pt>
                <c:pt idx="3">
                  <c:v>28</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2016.xlsx]SituationAnalysis!PivotTable6</c:name>
    <c:fmtId val="3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Water coverage end of project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SituationAnalysis!$C$178</c:f>
              <c:strCache>
                <c:ptCount val="1"/>
                <c:pt idx="0">
                  <c:v>% Water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SituationAnalysis!$B$179:$B$181</c:f>
              <c:strCache>
                <c:ptCount val="2"/>
                <c:pt idx="0">
                  <c:v>GCA</c:v>
                </c:pt>
                <c:pt idx="1">
                  <c:v>NGCA</c:v>
                </c:pt>
              </c:strCache>
            </c:strRef>
          </c:cat>
          <c:val>
            <c:numRef>
              <c:f>SituationAnalysis!$C$179:$C$181</c:f>
              <c:numCache>
                <c:formatCode>0%</c:formatCode>
                <c:ptCount val="2"/>
                <c:pt idx="0">
                  <c:v>0.95970609522011385</c:v>
                </c:pt>
                <c:pt idx="1">
                  <c:v>0.97027248613455508</c:v>
                </c:pt>
              </c:numCache>
            </c:numRef>
          </c:val>
        </c:ser>
        <c:ser>
          <c:idx val="1"/>
          <c:order val="1"/>
          <c:tx>
            <c:strRef>
              <c:f>SituationAnalysis!$D$178</c:f>
              <c:strCache>
                <c:ptCount val="1"/>
                <c:pt idx="0">
                  <c:v>% Coverage projection end of project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SituationAnalysis!$B$179:$B$181</c:f>
              <c:strCache>
                <c:ptCount val="2"/>
                <c:pt idx="0">
                  <c:v>GCA</c:v>
                </c:pt>
                <c:pt idx="1">
                  <c:v>NGCA</c:v>
                </c:pt>
              </c:strCache>
            </c:strRef>
          </c:cat>
          <c:val>
            <c:numRef>
              <c:f>SituationAnalysis!$D$179:$D$181</c:f>
              <c:numCache>
                <c:formatCode>0%</c:formatCode>
                <c:ptCount val="2"/>
                <c:pt idx="0">
                  <c:v>1.1572107366499947E-2</c:v>
                </c:pt>
                <c:pt idx="1">
                  <c:v>2.9727513865444911E-2</c:v>
                </c:pt>
              </c:numCache>
            </c:numRef>
          </c:val>
        </c:ser>
        <c:dLbls>
          <c:showLegendKey val="0"/>
          <c:showVal val="1"/>
          <c:showCatName val="0"/>
          <c:showSerName val="0"/>
          <c:showPercent val="0"/>
          <c:showBubbleSize val="0"/>
        </c:dLbls>
        <c:gapWidth val="150"/>
        <c:shape val="box"/>
        <c:axId val="624603376"/>
        <c:axId val="624603768"/>
        <c:axId val="0"/>
      </c:bar3DChart>
      <c:catAx>
        <c:axId val="624603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4603768"/>
        <c:crosses val="autoZero"/>
        <c:auto val="1"/>
        <c:lblAlgn val="ctr"/>
        <c:lblOffset val="100"/>
        <c:noMultiLvlLbl val="0"/>
      </c:catAx>
      <c:valAx>
        <c:axId val="6246037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460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2016.xlsx]SituationAnalysis!PivotTable9</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latrine coverage end of project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5.1381662793491441E-2"/>
          <c:y val="0.19112397417181087"/>
          <c:w val="0.93046450347775755"/>
          <c:h val="0.57146085724464146"/>
        </c:manualLayout>
      </c:layout>
      <c:bar3DChart>
        <c:barDir val="col"/>
        <c:grouping val="stacked"/>
        <c:varyColors val="0"/>
        <c:ser>
          <c:idx val="0"/>
          <c:order val="0"/>
          <c:tx>
            <c:strRef>
              <c:f>SituationAnalysis!$C$322</c:f>
              <c:strCache>
                <c:ptCount val="1"/>
                <c:pt idx="0">
                  <c:v>% Latrine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SituationAnalysis!$B$323:$B$325</c:f>
              <c:strCache>
                <c:ptCount val="2"/>
                <c:pt idx="0">
                  <c:v>GCA</c:v>
                </c:pt>
                <c:pt idx="1">
                  <c:v>NGCA</c:v>
                </c:pt>
              </c:strCache>
            </c:strRef>
          </c:cat>
          <c:val>
            <c:numRef>
              <c:f>SituationAnalysis!$C$323:$C$325</c:f>
              <c:numCache>
                <c:formatCode>0%</c:formatCode>
                <c:ptCount val="2"/>
                <c:pt idx="0">
                  <c:v>0.83824223543849707</c:v>
                </c:pt>
                <c:pt idx="1">
                  <c:v>0.9787396511534443</c:v>
                </c:pt>
              </c:numCache>
            </c:numRef>
          </c:val>
        </c:ser>
        <c:ser>
          <c:idx val="1"/>
          <c:order val="1"/>
          <c:tx>
            <c:strRef>
              <c:f>SituationAnalysis!$D$322</c:f>
              <c:strCache>
                <c:ptCount val="1"/>
                <c:pt idx="0">
                  <c:v>% Projection latrine need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SituationAnalysis!$B$323:$B$325</c:f>
              <c:strCache>
                <c:ptCount val="2"/>
                <c:pt idx="0">
                  <c:v>GCA</c:v>
                </c:pt>
                <c:pt idx="1">
                  <c:v>NGCA</c:v>
                </c:pt>
              </c:strCache>
            </c:strRef>
          </c:cat>
          <c:val>
            <c:numRef>
              <c:f>SituationAnalysis!$D$323:$D$325</c:f>
              <c:numCache>
                <c:formatCode>0%</c:formatCode>
                <c:ptCount val="2"/>
                <c:pt idx="0">
                  <c:v>6.4784326913999796E-2</c:v>
                </c:pt>
                <c:pt idx="1">
                  <c:v>3.7456796077484561E-4</c:v>
                </c:pt>
              </c:numCache>
            </c:numRef>
          </c:val>
        </c:ser>
        <c:dLbls>
          <c:showLegendKey val="0"/>
          <c:showVal val="1"/>
          <c:showCatName val="0"/>
          <c:showSerName val="0"/>
          <c:showPercent val="0"/>
          <c:showBubbleSize val="0"/>
        </c:dLbls>
        <c:gapWidth val="150"/>
        <c:shape val="box"/>
        <c:axId val="635223744"/>
        <c:axId val="635224136"/>
        <c:axId val="0"/>
      </c:bar3DChart>
      <c:catAx>
        <c:axId val="6352237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5224136"/>
        <c:crosses val="autoZero"/>
        <c:auto val="1"/>
        <c:lblAlgn val="ctr"/>
        <c:lblOffset val="100"/>
        <c:noMultiLvlLbl val="0"/>
      </c:catAx>
      <c:valAx>
        <c:axId val="6352241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5223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2016.xlsx]SituationAnalysis!PivotTable11</c:name>
    <c:fmtId val="3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SituationAnalysis!$C$565:$C$566</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SituationAnalysis!$B$567:$B$569</c:f>
              <c:strCache>
                <c:ptCount val="2"/>
                <c:pt idx="0">
                  <c:v>GCA</c:v>
                </c:pt>
                <c:pt idx="1">
                  <c:v>NGCA</c:v>
                </c:pt>
              </c:strCache>
            </c:strRef>
          </c:cat>
          <c:val>
            <c:numRef>
              <c:f>SituationAnalysis!$C$567:$C$569</c:f>
              <c:numCache>
                <c:formatCode>0</c:formatCode>
                <c:ptCount val="2"/>
                <c:pt idx="0">
                  <c:v>74</c:v>
                </c:pt>
                <c:pt idx="1">
                  <c:v>13</c:v>
                </c:pt>
              </c:numCache>
            </c:numRef>
          </c:val>
        </c:ser>
        <c:ser>
          <c:idx val="1"/>
          <c:order val="1"/>
          <c:tx>
            <c:strRef>
              <c:f>SituationAnalysis!$D$565:$D$566</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SituationAnalysis!$B$567:$B$569</c:f>
              <c:strCache>
                <c:ptCount val="2"/>
                <c:pt idx="0">
                  <c:v>GCA</c:v>
                </c:pt>
                <c:pt idx="1">
                  <c:v>NGCA</c:v>
                </c:pt>
              </c:strCache>
            </c:strRef>
          </c:cat>
          <c:val>
            <c:numRef>
              <c:f>SituationAnalysis!$D$567:$D$569</c:f>
              <c:numCache>
                <c:formatCode>0</c:formatCode>
                <c:ptCount val="2"/>
                <c:pt idx="0">
                  <c:v>66</c:v>
                </c:pt>
                <c:pt idx="1">
                  <c:v>8</c:v>
                </c:pt>
              </c:numCache>
            </c:numRef>
          </c:val>
        </c:ser>
        <c:dLbls>
          <c:showLegendKey val="0"/>
          <c:showVal val="1"/>
          <c:showCatName val="0"/>
          <c:showSerName val="0"/>
          <c:showPercent val="0"/>
          <c:showBubbleSize val="0"/>
        </c:dLbls>
        <c:gapWidth val="150"/>
        <c:shape val="box"/>
        <c:axId val="635224920"/>
        <c:axId val="637762368"/>
        <c:axId val="0"/>
      </c:bar3DChart>
      <c:catAx>
        <c:axId val="635224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762368"/>
        <c:crosses val="autoZero"/>
        <c:auto val="1"/>
        <c:lblAlgn val="ctr"/>
        <c:lblOffset val="100"/>
        <c:noMultiLvlLbl val="0"/>
      </c:catAx>
      <c:valAx>
        <c:axId val="63776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5224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2016.xlsx]SituationAnalysis!PivotTable14</c:name>
    <c:fmtId val="4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SituationAnalysis!$C$586:$C$587</c:f>
              <c:strCache>
                <c:ptCount val="1"/>
                <c:pt idx="0">
                  <c:v>Covered</c:v>
                </c:pt>
              </c:strCache>
            </c:strRef>
          </c:tx>
          <c:spPr>
            <a:solidFill>
              <a:schemeClr val="accent1"/>
            </a:solidFill>
            <a:ln>
              <a:noFill/>
            </a:ln>
            <a:effectLst/>
            <a:sp3d/>
          </c:spPr>
          <c:invertIfNegative val="0"/>
          <c:cat>
            <c:strRef>
              <c:f>SituationAnalysis!$B$588:$B$598</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SituationAnalysis!$C$588:$C$598</c:f>
              <c:numCache>
                <c:formatCode>0</c:formatCode>
                <c:ptCount val="10"/>
                <c:pt idx="0">
                  <c:v>19</c:v>
                </c:pt>
                <c:pt idx="1">
                  <c:v>1</c:v>
                </c:pt>
                <c:pt idx="3">
                  <c:v>22</c:v>
                </c:pt>
                <c:pt idx="4">
                  <c:v>3</c:v>
                </c:pt>
                <c:pt idx="5">
                  <c:v>18</c:v>
                </c:pt>
                <c:pt idx="6">
                  <c:v>9</c:v>
                </c:pt>
                <c:pt idx="7">
                  <c:v>11</c:v>
                </c:pt>
                <c:pt idx="8">
                  <c:v>2</c:v>
                </c:pt>
                <c:pt idx="9">
                  <c:v>2</c:v>
                </c:pt>
              </c:numCache>
            </c:numRef>
          </c:val>
        </c:ser>
        <c:ser>
          <c:idx val="1"/>
          <c:order val="1"/>
          <c:tx>
            <c:strRef>
              <c:f>SituationAnalysis!$D$586:$D$587</c:f>
              <c:strCache>
                <c:ptCount val="1"/>
                <c:pt idx="0">
                  <c:v>Not covered</c:v>
                </c:pt>
              </c:strCache>
            </c:strRef>
          </c:tx>
          <c:spPr>
            <a:solidFill>
              <a:schemeClr val="accent2"/>
            </a:solidFill>
            <a:ln>
              <a:noFill/>
            </a:ln>
            <a:effectLst/>
            <a:sp3d/>
          </c:spPr>
          <c:invertIfNegative val="0"/>
          <c:cat>
            <c:strRef>
              <c:f>SituationAnalysis!$B$588:$B$598</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SituationAnalysis!$D$588:$D$598</c:f>
              <c:numCache>
                <c:formatCode>0</c:formatCode>
                <c:ptCount val="10"/>
                <c:pt idx="0">
                  <c:v>2</c:v>
                </c:pt>
                <c:pt idx="1">
                  <c:v>30</c:v>
                </c:pt>
                <c:pt idx="2">
                  <c:v>10</c:v>
                </c:pt>
                <c:pt idx="3">
                  <c:v>11</c:v>
                </c:pt>
                <c:pt idx="4">
                  <c:v>2</c:v>
                </c:pt>
                <c:pt idx="5">
                  <c:v>2</c:v>
                </c:pt>
                <c:pt idx="6">
                  <c:v>6</c:v>
                </c:pt>
                <c:pt idx="8">
                  <c:v>2</c:v>
                </c:pt>
                <c:pt idx="9">
                  <c:v>9</c:v>
                </c:pt>
              </c:numCache>
            </c:numRef>
          </c:val>
        </c:ser>
        <c:dLbls>
          <c:showLegendKey val="0"/>
          <c:showVal val="0"/>
          <c:showCatName val="0"/>
          <c:showSerName val="0"/>
          <c:showPercent val="0"/>
          <c:showBubbleSize val="0"/>
        </c:dLbls>
        <c:gapWidth val="150"/>
        <c:shape val="box"/>
        <c:axId val="637763152"/>
        <c:axId val="637763544"/>
        <c:axId val="0"/>
      </c:bar3DChart>
      <c:catAx>
        <c:axId val="637763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763544"/>
        <c:crosses val="autoZero"/>
        <c:auto val="1"/>
        <c:lblAlgn val="ctr"/>
        <c:lblOffset val="100"/>
        <c:noMultiLvlLbl val="0"/>
      </c:catAx>
      <c:valAx>
        <c:axId val="637763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76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2016.xlsx]SituationAnalysis!PivotTable17</c:name>
    <c:fmtId val="4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SituationAnalysis!$C$606:$C$607</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SituationAnalysis!$B$608:$B$610</c:f>
              <c:strCache>
                <c:ptCount val="2"/>
                <c:pt idx="0">
                  <c:v>GCA</c:v>
                </c:pt>
                <c:pt idx="1">
                  <c:v>NGCA</c:v>
                </c:pt>
              </c:strCache>
            </c:strRef>
          </c:cat>
          <c:val>
            <c:numRef>
              <c:f>SituationAnalysis!$C$608:$C$610</c:f>
              <c:numCache>
                <c:formatCode>0</c:formatCode>
                <c:ptCount val="2"/>
                <c:pt idx="0">
                  <c:v>29585</c:v>
                </c:pt>
                <c:pt idx="1">
                  <c:v>21539</c:v>
                </c:pt>
              </c:numCache>
            </c:numRef>
          </c:val>
        </c:ser>
        <c:ser>
          <c:idx val="1"/>
          <c:order val="1"/>
          <c:tx>
            <c:strRef>
              <c:f>SituationAnalysis!$D$606:$D$607</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SituationAnalysis!$B$608:$B$610</c:f>
              <c:strCache>
                <c:ptCount val="2"/>
                <c:pt idx="0">
                  <c:v>GCA</c:v>
                </c:pt>
                <c:pt idx="1">
                  <c:v>NGCA</c:v>
                </c:pt>
              </c:strCache>
            </c:strRef>
          </c:cat>
          <c:val>
            <c:numRef>
              <c:f>SituationAnalysis!$D$608:$D$610</c:f>
              <c:numCache>
                <c:formatCode>0</c:formatCode>
                <c:ptCount val="2"/>
                <c:pt idx="0">
                  <c:v>20423</c:v>
                </c:pt>
                <c:pt idx="1">
                  <c:v>7046</c:v>
                </c:pt>
              </c:numCache>
            </c:numRef>
          </c:val>
        </c:ser>
        <c:dLbls>
          <c:showLegendKey val="0"/>
          <c:showVal val="1"/>
          <c:showCatName val="0"/>
          <c:showSerName val="0"/>
          <c:showPercent val="0"/>
          <c:showBubbleSize val="0"/>
        </c:dLbls>
        <c:gapWidth val="150"/>
        <c:shape val="box"/>
        <c:axId val="482088472"/>
        <c:axId val="482088864"/>
        <c:axId val="0"/>
      </c:bar3DChart>
      <c:catAx>
        <c:axId val="482088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088864"/>
        <c:crosses val="autoZero"/>
        <c:auto val="1"/>
        <c:lblAlgn val="ctr"/>
        <c:lblOffset val="100"/>
        <c:noMultiLvlLbl val="0"/>
      </c:catAx>
      <c:valAx>
        <c:axId val="482088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088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analysis!PivotTable5</c:name>
    <c:fmtId val="16"/>
  </c:pivotSource>
  <c:chart>
    <c:title>
      <c:tx>
        <c:rich>
          <a:bodyPr/>
          <a:lstStyle/>
          <a:p>
            <a:pPr algn="ctr" rtl="0">
              <a:defRPr lang="en-US" sz="800" b="1" i="0" u="none" strike="noStrike" kern="1200" spc="0" baseline="0">
                <a:solidFill>
                  <a:sysClr val="windowText" lastClr="000000">
                    <a:lumMod val="65000"/>
                    <a:lumOff val="35000"/>
                  </a:sysClr>
                </a:solidFill>
                <a:latin typeface="+mn-lt"/>
                <a:ea typeface="+mn-ea"/>
                <a:cs typeface="+mn-cs"/>
              </a:defRPr>
            </a:pPr>
            <a:r>
              <a:rPr lang="en-US" sz="800" b="1" i="0" u="none" strike="noStrike" kern="1200" spc="0" baseline="0">
                <a:solidFill>
                  <a:sysClr val="windowText" lastClr="000000">
                    <a:lumMod val="65000"/>
                    <a:lumOff val="35000"/>
                  </a:sysClr>
                </a:solidFill>
                <a:latin typeface="+mn-lt"/>
                <a:ea typeface="+mn-ea"/>
                <a:cs typeface="+mn-cs"/>
              </a:rPr>
              <a:t>APPROXIMATE FUND ENGAGED PER YEAR (US$)</a:t>
            </a:r>
          </a:p>
        </c:rich>
      </c:tx>
      <c:layout>
        <c:manualLayout>
          <c:xMode val="edge"/>
          <c:yMode val="edge"/>
          <c:x val="0.16547852654064929"/>
          <c:y val="1.8912515468799563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3.4089458964377171E-2"/>
          <c:y val="0.13786404730809382"/>
          <c:w val="0.90565782332010958"/>
          <c:h val="0.74265650851137655"/>
        </c:manualLayout>
      </c:layout>
      <c:bar3DChart>
        <c:barDir val="col"/>
        <c:grouping val="stacked"/>
        <c:varyColors val="0"/>
        <c:ser>
          <c:idx val="0"/>
          <c:order val="0"/>
          <c:tx>
            <c:strRef>
              <c:f>'Funds analysis'!$C$69:$C$70</c:f>
              <c:strCache>
                <c:ptCount val="1"/>
                <c:pt idx="0">
                  <c:v>ECHO</c:v>
                </c:pt>
              </c:strCache>
            </c:strRef>
          </c:tx>
          <c:invertIfNegative val="0"/>
          <c:cat>
            <c:strRef>
              <c:f>'Funds analysis'!$B$71:$B$74</c:f>
              <c:strCache>
                <c:ptCount val="4"/>
                <c:pt idx="0">
                  <c:v>Before 2014</c:v>
                </c:pt>
                <c:pt idx="1">
                  <c:v>2014</c:v>
                </c:pt>
                <c:pt idx="2">
                  <c:v>2015</c:v>
                </c:pt>
                <c:pt idx="3">
                  <c:v>2016</c:v>
                </c:pt>
              </c:strCache>
            </c:strRef>
          </c:cat>
          <c:val>
            <c:numRef>
              <c:f>'Funds analysis'!$C$71:$C$74</c:f>
              <c:numCache>
                <c:formatCode>#,##0</c:formatCode>
                <c:ptCount val="4"/>
                <c:pt idx="0">
                  <c:v>2174530.0636635181</c:v>
                </c:pt>
                <c:pt idx="1">
                  <c:v>1303624.0807537101</c:v>
                </c:pt>
                <c:pt idx="2">
                  <c:v>1487275.0303130643</c:v>
                </c:pt>
                <c:pt idx="3">
                  <c:v>743290.82526970748</c:v>
                </c:pt>
              </c:numCache>
            </c:numRef>
          </c:val>
        </c:ser>
        <c:ser>
          <c:idx val="1"/>
          <c:order val="1"/>
          <c:tx>
            <c:strRef>
              <c:f>'Funds analysis'!$D$69:$D$70</c:f>
              <c:strCache>
                <c:ptCount val="1"/>
                <c:pt idx="0">
                  <c:v>Germany</c:v>
                </c:pt>
              </c:strCache>
            </c:strRef>
          </c:tx>
          <c:invertIfNegative val="0"/>
          <c:cat>
            <c:strRef>
              <c:f>'Funds analysis'!$B$71:$B$74</c:f>
              <c:strCache>
                <c:ptCount val="4"/>
                <c:pt idx="0">
                  <c:v>Before 2014</c:v>
                </c:pt>
                <c:pt idx="1">
                  <c:v>2014</c:v>
                </c:pt>
                <c:pt idx="2">
                  <c:v>2015</c:v>
                </c:pt>
                <c:pt idx="3">
                  <c:v>2016</c:v>
                </c:pt>
              </c:strCache>
            </c:strRef>
          </c:cat>
          <c:val>
            <c:numRef>
              <c:f>'Funds analysis'!$D$71:$D$74</c:f>
              <c:numCache>
                <c:formatCode>#,##0</c:formatCode>
                <c:ptCount val="4"/>
                <c:pt idx="0">
                  <c:v>338770</c:v>
                </c:pt>
                <c:pt idx="1">
                  <c:v>0</c:v>
                </c:pt>
                <c:pt idx="2">
                  <c:v>75653</c:v>
                </c:pt>
                <c:pt idx="3">
                  <c:v>0</c:v>
                </c:pt>
              </c:numCache>
            </c:numRef>
          </c:val>
        </c:ser>
        <c:ser>
          <c:idx val="2"/>
          <c:order val="2"/>
          <c:tx>
            <c:strRef>
              <c:f>'Funds analysis'!$E$69:$E$70</c:f>
              <c:strCache>
                <c:ptCount val="1"/>
                <c:pt idx="0">
                  <c:v>OFDA</c:v>
                </c:pt>
              </c:strCache>
            </c:strRef>
          </c:tx>
          <c:invertIfNegative val="0"/>
          <c:cat>
            <c:strRef>
              <c:f>'Funds analysis'!$B$71:$B$74</c:f>
              <c:strCache>
                <c:ptCount val="4"/>
                <c:pt idx="0">
                  <c:v>Before 2014</c:v>
                </c:pt>
                <c:pt idx="1">
                  <c:v>2014</c:v>
                </c:pt>
                <c:pt idx="2">
                  <c:v>2015</c:v>
                </c:pt>
                <c:pt idx="3">
                  <c:v>2016</c:v>
                </c:pt>
              </c:strCache>
            </c:strRef>
          </c:cat>
          <c:val>
            <c:numRef>
              <c:f>'Funds analysis'!$E$71:$E$74</c:f>
              <c:numCache>
                <c:formatCode>#,##0</c:formatCode>
                <c:ptCount val="4"/>
                <c:pt idx="0">
                  <c:v>1067394.5833333333</c:v>
                </c:pt>
                <c:pt idx="1">
                  <c:v>968695.31498302927</c:v>
                </c:pt>
                <c:pt idx="2">
                  <c:v>1012703.6182644019</c:v>
                </c:pt>
                <c:pt idx="3">
                  <c:v>212385.48341923562</c:v>
                </c:pt>
              </c:numCache>
            </c:numRef>
          </c:val>
        </c:ser>
        <c:ser>
          <c:idx val="3"/>
          <c:order val="3"/>
          <c:tx>
            <c:strRef>
              <c:f>'Funds analysis'!$F$69:$F$70</c:f>
              <c:strCache>
                <c:ptCount val="1"/>
                <c:pt idx="0">
                  <c:v>CERF</c:v>
                </c:pt>
              </c:strCache>
            </c:strRef>
          </c:tx>
          <c:invertIfNegative val="0"/>
          <c:cat>
            <c:strRef>
              <c:f>'Funds analysis'!$B$71:$B$74</c:f>
              <c:strCache>
                <c:ptCount val="4"/>
                <c:pt idx="0">
                  <c:v>Before 2014</c:v>
                </c:pt>
                <c:pt idx="1">
                  <c:v>2014</c:v>
                </c:pt>
                <c:pt idx="2">
                  <c:v>2015</c:v>
                </c:pt>
                <c:pt idx="3">
                  <c:v>2016</c:v>
                </c:pt>
              </c:strCache>
            </c:strRef>
          </c:cat>
          <c:val>
            <c:numRef>
              <c:f>'Funds analysis'!$F$71:$F$74</c:f>
              <c:numCache>
                <c:formatCode>#,##0</c:formatCode>
                <c:ptCount val="4"/>
                <c:pt idx="0">
                  <c:v>1172664.4566898956</c:v>
                </c:pt>
                <c:pt idx="1">
                  <c:v>1022388.1533101045</c:v>
                </c:pt>
                <c:pt idx="2">
                  <c:v>136231.88405797101</c:v>
                </c:pt>
                <c:pt idx="3">
                  <c:v>263768.11594202899</c:v>
                </c:pt>
              </c:numCache>
            </c:numRef>
          </c:val>
        </c:ser>
        <c:ser>
          <c:idx val="4"/>
          <c:order val="4"/>
          <c:tx>
            <c:strRef>
              <c:f>'Funds analysis'!$G$69:$G$70</c:f>
              <c:strCache>
                <c:ptCount val="1"/>
                <c:pt idx="0">
                  <c:v>Canada</c:v>
                </c:pt>
              </c:strCache>
            </c:strRef>
          </c:tx>
          <c:invertIfNegative val="0"/>
          <c:cat>
            <c:strRef>
              <c:f>'Funds analysis'!$B$71:$B$74</c:f>
              <c:strCache>
                <c:ptCount val="4"/>
                <c:pt idx="0">
                  <c:v>Before 2014</c:v>
                </c:pt>
                <c:pt idx="1">
                  <c:v>2014</c:v>
                </c:pt>
                <c:pt idx="2">
                  <c:v>2015</c:v>
                </c:pt>
                <c:pt idx="3">
                  <c:v>2016</c:v>
                </c:pt>
              </c:strCache>
            </c:strRef>
          </c:cat>
          <c:val>
            <c:numRef>
              <c:f>'Funds analysis'!$G$71:$G$74</c:f>
              <c:numCache>
                <c:formatCode>#,##0</c:formatCode>
                <c:ptCount val="4"/>
                <c:pt idx="0">
                  <c:v>292113</c:v>
                </c:pt>
                <c:pt idx="1">
                  <c:v>0</c:v>
                </c:pt>
                <c:pt idx="2">
                  <c:v>0</c:v>
                </c:pt>
                <c:pt idx="3">
                  <c:v>0</c:v>
                </c:pt>
              </c:numCache>
            </c:numRef>
          </c:val>
        </c:ser>
        <c:ser>
          <c:idx val="5"/>
          <c:order val="5"/>
          <c:tx>
            <c:strRef>
              <c:f>'Funds analysis'!$H$69:$H$70</c:f>
              <c:strCache>
                <c:ptCount val="1"/>
                <c:pt idx="0">
                  <c:v>Australian</c:v>
                </c:pt>
              </c:strCache>
            </c:strRef>
          </c:tx>
          <c:invertIfNegative val="0"/>
          <c:cat>
            <c:strRef>
              <c:f>'Funds analysis'!$B$71:$B$74</c:f>
              <c:strCache>
                <c:ptCount val="4"/>
                <c:pt idx="0">
                  <c:v>Before 2014</c:v>
                </c:pt>
                <c:pt idx="1">
                  <c:v>2014</c:v>
                </c:pt>
                <c:pt idx="2">
                  <c:v>2015</c:v>
                </c:pt>
                <c:pt idx="3">
                  <c:v>2016</c:v>
                </c:pt>
              </c:strCache>
            </c:strRef>
          </c:cat>
          <c:val>
            <c:numRef>
              <c:f>'Funds analysis'!$H$71:$H$74</c:f>
              <c:numCache>
                <c:formatCode>#,##0</c:formatCode>
                <c:ptCount val="4"/>
                <c:pt idx="0">
                  <c:v>414065.16519823787</c:v>
                </c:pt>
                <c:pt idx="1">
                  <c:v>100963.83480176212</c:v>
                </c:pt>
                <c:pt idx="2">
                  <c:v>0</c:v>
                </c:pt>
                <c:pt idx="3">
                  <c:v>0</c:v>
                </c:pt>
              </c:numCache>
            </c:numRef>
          </c:val>
        </c:ser>
        <c:ser>
          <c:idx val="6"/>
          <c:order val="6"/>
          <c:tx>
            <c:strRef>
              <c:f>'Funds analysis'!$I$69:$I$70</c:f>
              <c:strCache>
                <c:ptCount val="1"/>
                <c:pt idx="0">
                  <c:v>France</c:v>
                </c:pt>
              </c:strCache>
            </c:strRef>
          </c:tx>
          <c:invertIfNegative val="0"/>
          <c:cat>
            <c:strRef>
              <c:f>'Funds analysis'!$B$71:$B$74</c:f>
              <c:strCache>
                <c:ptCount val="4"/>
                <c:pt idx="0">
                  <c:v>Before 2014</c:v>
                </c:pt>
                <c:pt idx="1">
                  <c:v>2014</c:v>
                </c:pt>
                <c:pt idx="2">
                  <c:v>2015</c:v>
                </c:pt>
                <c:pt idx="3">
                  <c:v>2016</c:v>
                </c:pt>
              </c:strCache>
            </c:strRef>
          </c:cat>
          <c:val>
            <c:numRef>
              <c:f>'Funds analysis'!$I$71:$I$74</c:f>
              <c:numCache>
                <c:formatCode>#,##0</c:formatCode>
                <c:ptCount val="4"/>
                <c:pt idx="0">
                  <c:v>197000</c:v>
                </c:pt>
                <c:pt idx="1">
                  <c:v>0</c:v>
                </c:pt>
                <c:pt idx="2">
                  <c:v>0</c:v>
                </c:pt>
                <c:pt idx="3">
                  <c:v>0</c:v>
                </c:pt>
              </c:numCache>
            </c:numRef>
          </c:val>
        </c:ser>
        <c:ser>
          <c:idx val="7"/>
          <c:order val="7"/>
          <c:tx>
            <c:strRef>
              <c:f>'Funds analysis'!$J$69:$J$70</c:f>
              <c:strCache>
                <c:ptCount val="1"/>
                <c:pt idx="0">
                  <c:v>Sweden</c:v>
                </c:pt>
              </c:strCache>
            </c:strRef>
          </c:tx>
          <c:invertIfNegative val="0"/>
          <c:cat>
            <c:strRef>
              <c:f>'Funds analysis'!$B$71:$B$74</c:f>
              <c:strCache>
                <c:ptCount val="4"/>
                <c:pt idx="0">
                  <c:v>Before 2014</c:v>
                </c:pt>
                <c:pt idx="1">
                  <c:v>2014</c:v>
                </c:pt>
                <c:pt idx="2">
                  <c:v>2015</c:v>
                </c:pt>
                <c:pt idx="3">
                  <c:v>2016</c:v>
                </c:pt>
              </c:strCache>
            </c:strRef>
          </c:cat>
          <c:val>
            <c:numRef>
              <c:f>'Funds analysis'!$J$71:$J$74</c:f>
              <c:numCache>
                <c:formatCode>#,##0</c:formatCode>
                <c:ptCount val="4"/>
                <c:pt idx="0">
                  <c:v>106270</c:v>
                </c:pt>
                <c:pt idx="1">
                  <c:v>50000</c:v>
                </c:pt>
                <c:pt idx="2">
                  <c:v>0</c:v>
                </c:pt>
                <c:pt idx="3">
                  <c:v>0</c:v>
                </c:pt>
              </c:numCache>
            </c:numRef>
          </c:val>
        </c:ser>
        <c:ser>
          <c:idx val="8"/>
          <c:order val="8"/>
          <c:tx>
            <c:strRef>
              <c:f>'Funds analysis'!$K$69:$K$70</c:f>
              <c:strCache>
                <c:ptCount val="1"/>
                <c:pt idx="0">
                  <c:v>CIDA</c:v>
                </c:pt>
              </c:strCache>
            </c:strRef>
          </c:tx>
          <c:invertIfNegative val="0"/>
          <c:cat>
            <c:strRef>
              <c:f>'Funds analysis'!$B$71:$B$74</c:f>
              <c:strCache>
                <c:ptCount val="4"/>
                <c:pt idx="0">
                  <c:v>Before 2014</c:v>
                </c:pt>
                <c:pt idx="1">
                  <c:v>2014</c:v>
                </c:pt>
                <c:pt idx="2">
                  <c:v>2015</c:v>
                </c:pt>
                <c:pt idx="3">
                  <c:v>2016</c:v>
                </c:pt>
              </c:strCache>
            </c:strRef>
          </c:cat>
          <c:val>
            <c:numRef>
              <c:f>'Funds analysis'!$K$71:$K$74</c:f>
              <c:numCache>
                <c:formatCode>#,##0</c:formatCode>
                <c:ptCount val="4"/>
                <c:pt idx="0">
                  <c:v>153948.79955947137</c:v>
                </c:pt>
                <c:pt idx="1">
                  <c:v>37538.200440528635</c:v>
                </c:pt>
                <c:pt idx="2">
                  <c:v>95767.775735294112</c:v>
                </c:pt>
                <c:pt idx="3">
                  <c:v>113391.22426470589</c:v>
                </c:pt>
              </c:numCache>
            </c:numRef>
          </c:val>
        </c:ser>
        <c:ser>
          <c:idx val="9"/>
          <c:order val="9"/>
          <c:tx>
            <c:strRef>
              <c:f>'Funds analysis'!$L$69:$L$70</c:f>
              <c:strCache>
                <c:ptCount val="1"/>
                <c:pt idx="0">
                  <c:v>Japan</c:v>
                </c:pt>
              </c:strCache>
            </c:strRef>
          </c:tx>
          <c:invertIfNegative val="0"/>
          <c:cat>
            <c:strRef>
              <c:f>'Funds analysis'!$B$71:$B$74</c:f>
              <c:strCache>
                <c:ptCount val="4"/>
                <c:pt idx="0">
                  <c:v>Before 2014</c:v>
                </c:pt>
                <c:pt idx="1">
                  <c:v>2014</c:v>
                </c:pt>
                <c:pt idx="2">
                  <c:v>2015</c:v>
                </c:pt>
                <c:pt idx="3">
                  <c:v>2016</c:v>
                </c:pt>
              </c:strCache>
            </c:strRef>
          </c:cat>
          <c:val>
            <c:numRef>
              <c:f>'Funds analysis'!$L$71:$L$74</c:f>
              <c:numCache>
                <c:formatCode>#,##0</c:formatCode>
                <c:ptCount val="4"/>
                <c:pt idx="0">
                  <c:v>0</c:v>
                </c:pt>
                <c:pt idx="1">
                  <c:v>564560.43956043955</c:v>
                </c:pt>
                <c:pt idx="2">
                  <c:v>185439.56043956045</c:v>
                </c:pt>
                <c:pt idx="3">
                  <c:v>0</c:v>
                </c:pt>
              </c:numCache>
            </c:numRef>
          </c:val>
        </c:ser>
        <c:ser>
          <c:idx val="10"/>
          <c:order val="10"/>
          <c:tx>
            <c:strRef>
              <c:f>'Funds analysis'!$M$69:$M$70</c:f>
              <c:strCache>
                <c:ptCount val="1"/>
                <c:pt idx="0">
                  <c:v>SC seed funding</c:v>
                </c:pt>
              </c:strCache>
            </c:strRef>
          </c:tx>
          <c:invertIfNegative val="0"/>
          <c:cat>
            <c:strRef>
              <c:f>'Funds analysis'!$B$71:$B$74</c:f>
              <c:strCache>
                <c:ptCount val="4"/>
                <c:pt idx="0">
                  <c:v>Before 2014</c:v>
                </c:pt>
                <c:pt idx="1">
                  <c:v>2014</c:v>
                </c:pt>
                <c:pt idx="2">
                  <c:v>2015</c:v>
                </c:pt>
                <c:pt idx="3">
                  <c:v>2016</c:v>
                </c:pt>
              </c:strCache>
            </c:strRef>
          </c:cat>
          <c:val>
            <c:numRef>
              <c:f>'Funds analysis'!$M$71:$M$74</c:f>
              <c:numCache>
                <c:formatCode>#,##0</c:formatCode>
                <c:ptCount val="4"/>
                <c:pt idx="0">
                  <c:v>0</c:v>
                </c:pt>
                <c:pt idx="1">
                  <c:v>17000</c:v>
                </c:pt>
                <c:pt idx="2">
                  <c:v>0</c:v>
                </c:pt>
                <c:pt idx="3">
                  <c:v>0</c:v>
                </c:pt>
              </c:numCache>
            </c:numRef>
          </c:val>
        </c:ser>
        <c:ser>
          <c:idx val="11"/>
          <c:order val="11"/>
          <c:tx>
            <c:strRef>
              <c:f>'Funds analysis'!$N$69:$N$70</c:f>
              <c:strCache>
                <c:ptCount val="1"/>
                <c:pt idx="0">
                  <c:v>SIDA</c:v>
                </c:pt>
              </c:strCache>
            </c:strRef>
          </c:tx>
          <c:invertIfNegative val="0"/>
          <c:cat>
            <c:strRef>
              <c:f>'Funds analysis'!$B$71:$B$74</c:f>
              <c:strCache>
                <c:ptCount val="4"/>
                <c:pt idx="0">
                  <c:v>Before 2014</c:v>
                </c:pt>
                <c:pt idx="1">
                  <c:v>2014</c:v>
                </c:pt>
                <c:pt idx="2">
                  <c:v>2015</c:v>
                </c:pt>
                <c:pt idx="3">
                  <c:v>2016</c:v>
                </c:pt>
              </c:strCache>
            </c:strRef>
          </c:cat>
          <c:val>
            <c:numRef>
              <c:f>'Funds analysis'!$N$71:$N$74</c:f>
              <c:numCache>
                <c:formatCode>#,##0</c:formatCode>
                <c:ptCount val="4"/>
                <c:pt idx="0">
                  <c:v>0</c:v>
                </c:pt>
                <c:pt idx="1">
                  <c:v>80400</c:v>
                </c:pt>
                <c:pt idx="2">
                  <c:v>0</c:v>
                </c:pt>
                <c:pt idx="3">
                  <c:v>0</c:v>
                </c:pt>
              </c:numCache>
            </c:numRef>
          </c:val>
        </c:ser>
        <c:ser>
          <c:idx val="12"/>
          <c:order val="12"/>
          <c:tx>
            <c:strRef>
              <c:f>'Funds analysis'!$O$69:$O$70</c:f>
              <c:strCache>
                <c:ptCount val="1"/>
                <c:pt idx="0">
                  <c:v>Start fund</c:v>
                </c:pt>
              </c:strCache>
            </c:strRef>
          </c:tx>
          <c:invertIfNegative val="0"/>
          <c:cat>
            <c:strRef>
              <c:f>'Funds analysis'!$B$71:$B$74</c:f>
              <c:strCache>
                <c:ptCount val="4"/>
                <c:pt idx="0">
                  <c:v>Before 2014</c:v>
                </c:pt>
                <c:pt idx="1">
                  <c:v>2014</c:v>
                </c:pt>
                <c:pt idx="2">
                  <c:v>2015</c:v>
                </c:pt>
                <c:pt idx="3">
                  <c:v>2016</c:v>
                </c:pt>
              </c:strCache>
            </c:strRef>
          </c:cat>
          <c:val>
            <c:numRef>
              <c:f>'Funds analysis'!$O$71:$O$74</c:f>
              <c:numCache>
                <c:formatCode>#,##0</c:formatCode>
                <c:ptCount val="4"/>
                <c:pt idx="0">
                  <c:v>0</c:v>
                </c:pt>
                <c:pt idx="1">
                  <c:v>43482</c:v>
                </c:pt>
                <c:pt idx="2">
                  <c:v>0</c:v>
                </c:pt>
                <c:pt idx="3">
                  <c:v>0</c:v>
                </c:pt>
              </c:numCache>
            </c:numRef>
          </c:val>
        </c:ser>
        <c:ser>
          <c:idx val="13"/>
          <c:order val="13"/>
          <c:tx>
            <c:strRef>
              <c:f>'Funds analysis'!$P$69:$P$70</c:f>
              <c:strCache>
                <c:ptCount val="1"/>
                <c:pt idx="0">
                  <c:v>DFAT</c:v>
                </c:pt>
              </c:strCache>
            </c:strRef>
          </c:tx>
          <c:invertIfNegative val="0"/>
          <c:cat>
            <c:strRef>
              <c:f>'Funds analysis'!$B$71:$B$74</c:f>
              <c:strCache>
                <c:ptCount val="4"/>
                <c:pt idx="0">
                  <c:v>Before 2014</c:v>
                </c:pt>
                <c:pt idx="1">
                  <c:v>2014</c:v>
                </c:pt>
                <c:pt idx="2">
                  <c:v>2015</c:v>
                </c:pt>
                <c:pt idx="3">
                  <c:v>2016</c:v>
                </c:pt>
              </c:strCache>
            </c:strRef>
          </c:cat>
          <c:val>
            <c:numRef>
              <c:f>'Funds analysis'!$P$71:$P$74</c:f>
              <c:numCache>
                <c:formatCode>#,##0</c:formatCode>
                <c:ptCount val="4"/>
                <c:pt idx="0">
                  <c:v>0</c:v>
                </c:pt>
                <c:pt idx="1">
                  <c:v>439801.04303797468</c:v>
                </c:pt>
                <c:pt idx="2">
                  <c:v>272171.95696202532</c:v>
                </c:pt>
                <c:pt idx="3">
                  <c:v>0</c:v>
                </c:pt>
              </c:numCache>
            </c:numRef>
          </c:val>
        </c:ser>
        <c:ser>
          <c:idx val="14"/>
          <c:order val="14"/>
          <c:tx>
            <c:strRef>
              <c:f>'Funds analysis'!$Q$69:$Q$70</c:f>
              <c:strCache>
                <c:ptCount val="1"/>
                <c:pt idx="0">
                  <c:v>ERF</c:v>
                </c:pt>
              </c:strCache>
            </c:strRef>
          </c:tx>
          <c:invertIfNegative val="0"/>
          <c:cat>
            <c:strRef>
              <c:f>'Funds analysis'!$B$71:$B$74</c:f>
              <c:strCache>
                <c:ptCount val="4"/>
                <c:pt idx="0">
                  <c:v>Before 2014</c:v>
                </c:pt>
                <c:pt idx="1">
                  <c:v>2014</c:v>
                </c:pt>
                <c:pt idx="2">
                  <c:v>2015</c:v>
                </c:pt>
                <c:pt idx="3">
                  <c:v>2016</c:v>
                </c:pt>
              </c:strCache>
            </c:strRef>
          </c:cat>
          <c:val>
            <c:numRef>
              <c:f>'Funds analysis'!$Q$71:$Q$74</c:f>
              <c:numCache>
                <c:formatCode>#,##0</c:formatCode>
                <c:ptCount val="4"/>
                <c:pt idx="0">
                  <c:v>0</c:v>
                </c:pt>
                <c:pt idx="1">
                  <c:v>161000.81218274112</c:v>
                </c:pt>
                <c:pt idx="2">
                  <c:v>252378.94946109448</c:v>
                </c:pt>
                <c:pt idx="3">
                  <c:v>202473.23835616439</c:v>
                </c:pt>
              </c:numCache>
            </c:numRef>
          </c:val>
        </c:ser>
        <c:ser>
          <c:idx val="15"/>
          <c:order val="15"/>
          <c:tx>
            <c:strRef>
              <c:f>'Funds analysis'!$R$69:$R$70</c:f>
              <c:strCache>
                <c:ptCount val="1"/>
                <c:pt idx="0">
                  <c:v>FCA</c:v>
                </c:pt>
              </c:strCache>
            </c:strRef>
          </c:tx>
          <c:invertIfNegative val="0"/>
          <c:cat>
            <c:strRef>
              <c:f>'Funds analysis'!$B$71:$B$74</c:f>
              <c:strCache>
                <c:ptCount val="4"/>
                <c:pt idx="0">
                  <c:v>Before 2014</c:v>
                </c:pt>
                <c:pt idx="1">
                  <c:v>2014</c:v>
                </c:pt>
                <c:pt idx="2">
                  <c:v>2015</c:v>
                </c:pt>
                <c:pt idx="3">
                  <c:v>2016</c:v>
                </c:pt>
              </c:strCache>
            </c:strRef>
          </c:cat>
          <c:val>
            <c:numRef>
              <c:f>'Funds analysis'!$R$71:$R$74</c:f>
              <c:numCache>
                <c:formatCode>#,##0</c:formatCode>
                <c:ptCount val="4"/>
                <c:pt idx="0">
                  <c:v>0</c:v>
                </c:pt>
                <c:pt idx="1">
                  <c:v>0</c:v>
                </c:pt>
                <c:pt idx="2">
                  <c:v>400000</c:v>
                </c:pt>
                <c:pt idx="3">
                  <c:v>0</c:v>
                </c:pt>
              </c:numCache>
            </c:numRef>
          </c:val>
        </c:ser>
        <c:ser>
          <c:idx val="16"/>
          <c:order val="16"/>
          <c:tx>
            <c:strRef>
              <c:f>'Funds analysis'!$S$69:$S$70</c:f>
              <c:strCache>
                <c:ptCount val="1"/>
                <c:pt idx="0">
                  <c:v>HIDA</c:v>
                </c:pt>
              </c:strCache>
            </c:strRef>
          </c:tx>
          <c:invertIfNegative val="0"/>
          <c:cat>
            <c:strRef>
              <c:f>'Funds analysis'!$B$71:$B$74</c:f>
              <c:strCache>
                <c:ptCount val="4"/>
                <c:pt idx="0">
                  <c:v>Before 2014</c:v>
                </c:pt>
                <c:pt idx="1">
                  <c:v>2014</c:v>
                </c:pt>
                <c:pt idx="2">
                  <c:v>2015</c:v>
                </c:pt>
                <c:pt idx="3">
                  <c:v>2016</c:v>
                </c:pt>
              </c:strCache>
            </c:strRef>
          </c:cat>
          <c:val>
            <c:numRef>
              <c:f>'Funds analysis'!$S$71:$S$74</c:f>
              <c:numCache>
                <c:formatCode>#,##0</c:formatCode>
                <c:ptCount val="4"/>
                <c:pt idx="0">
                  <c:v>0</c:v>
                </c:pt>
                <c:pt idx="1">
                  <c:v>0</c:v>
                </c:pt>
                <c:pt idx="2">
                  <c:v>54846.542465753424</c:v>
                </c:pt>
                <c:pt idx="3">
                  <c:v>18215.457534246576</c:v>
                </c:pt>
              </c:numCache>
            </c:numRef>
          </c:val>
        </c:ser>
        <c:ser>
          <c:idx val="17"/>
          <c:order val="17"/>
          <c:tx>
            <c:strRef>
              <c:f>'Funds analysis'!$T$69:$T$70</c:f>
              <c:strCache>
                <c:ptCount val="1"/>
                <c:pt idx="0">
                  <c:v>WHH</c:v>
                </c:pt>
              </c:strCache>
            </c:strRef>
          </c:tx>
          <c:invertIfNegative val="0"/>
          <c:cat>
            <c:strRef>
              <c:f>'Funds analysis'!$B$71:$B$74</c:f>
              <c:strCache>
                <c:ptCount val="4"/>
                <c:pt idx="0">
                  <c:v>Before 2014</c:v>
                </c:pt>
                <c:pt idx="1">
                  <c:v>2014</c:v>
                </c:pt>
                <c:pt idx="2">
                  <c:v>2015</c:v>
                </c:pt>
                <c:pt idx="3">
                  <c:v>2016</c:v>
                </c:pt>
              </c:strCache>
            </c:strRef>
          </c:cat>
          <c:val>
            <c:numRef>
              <c:f>'Funds analysis'!$T$71:$T$74</c:f>
              <c:numCache>
                <c:formatCode>#,##0</c:formatCode>
                <c:ptCount val="4"/>
                <c:pt idx="0">
                  <c:v>0</c:v>
                </c:pt>
                <c:pt idx="1">
                  <c:v>0</c:v>
                </c:pt>
                <c:pt idx="2">
                  <c:v>23043.444227005872</c:v>
                </c:pt>
                <c:pt idx="3">
                  <c:v>9756.5557729941283</c:v>
                </c:pt>
              </c:numCache>
            </c:numRef>
          </c:val>
        </c:ser>
        <c:ser>
          <c:idx val="18"/>
          <c:order val="18"/>
          <c:tx>
            <c:strRef>
              <c:f>'Funds analysis'!$U$69:$U$70</c:f>
              <c:strCache>
                <c:ptCount val="1"/>
                <c:pt idx="0">
                  <c:v>DFID</c:v>
                </c:pt>
              </c:strCache>
            </c:strRef>
          </c:tx>
          <c:invertIfNegative val="0"/>
          <c:cat>
            <c:strRef>
              <c:f>'Funds analysis'!$B$71:$B$74</c:f>
              <c:strCache>
                <c:ptCount val="4"/>
                <c:pt idx="0">
                  <c:v>Before 2014</c:v>
                </c:pt>
                <c:pt idx="1">
                  <c:v>2014</c:v>
                </c:pt>
                <c:pt idx="2">
                  <c:v>2015</c:v>
                </c:pt>
                <c:pt idx="3">
                  <c:v>2016</c:v>
                </c:pt>
              </c:strCache>
            </c:strRef>
          </c:cat>
          <c:val>
            <c:numRef>
              <c:f>'Funds analysis'!$U$71:$U$74</c:f>
              <c:numCache>
                <c:formatCode>#,##0</c:formatCode>
                <c:ptCount val="4"/>
                <c:pt idx="0">
                  <c:v>165239.41391941393</c:v>
                </c:pt>
                <c:pt idx="1">
                  <c:v>79925.586080586087</c:v>
                </c:pt>
                <c:pt idx="2">
                  <c:v>154118</c:v>
                </c:pt>
                <c:pt idx="3">
                  <c:v>0</c:v>
                </c:pt>
              </c:numCache>
            </c:numRef>
          </c:val>
        </c:ser>
        <c:dLbls>
          <c:showLegendKey val="0"/>
          <c:showVal val="0"/>
          <c:showCatName val="0"/>
          <c:showSerName val="0"/>
          <c:showPercent val="0"/>
          <c:showBubbleSize val="0"/>
        </c:dLbls>
        <c:gapWidth val="150"/>
        <c:shape val="box"/>
        <c:axId val="589810728"/>
        <c:axId val="589811120"/>
        <c:axId val="0"/>
      </c:bar3DChart>
      <c:catAx>
        <c:axId val="589810728"/>
        <c:scaling>
          <c:orientation val="minMax"/>
        </c:scaling>
        <c:delete val="0"/>
        <c:axPos val="b"/>
        <c:numFmt formatCode="General" sourceLinked="1"/>
        <c:majorTickMark val="out"/>
        <c:minorTickMark val="none"/>
        <c:tickLblPos val="nextTo"/>
        <c:crossAx val="589811120"/>
        <c:crosses val="autoZero"/>
        <c:auto val="0"/>
        <c:lblAlgn val="ctr"/>
        <c:lblOffset val="100"/>
        <c:noMultiLvlLbl val="0"/>
      </c:catAx>
      <c:valAx>
        <c:axId val="589811120"/>
        <c:scaling>
          <c:orientation val="minMax"/>
          <c:max val="8000000"/>
        </c:scaling>
        <c:delete val="0"/>
        <c:axPos val="l"/>
        <c:majorGridlines/>
        <c:numFmt formatCode="#,##0" sourceLinked="0"/>
        <c:majorTickMark val="out"/>
        <c:minorTickMark val="none"/>
        <c:tickLblPos val="nextTo"/>
        <c:crossAx val="589810728"/>
        <c:crosses val="autoZero"/>
        <c:crossBetween val="between"/>
        <c:dispUnits>
          <c:builtInUnit val="millions"/>
          <c:dispUnitsLbl>
            <c:layout/>
          </c:dispUnitsLbl>
        </c:dispUnits>
      </c:valAx>
      <c:spPr>
        <a:noFill/>
        <a:ln w="25400">
          <a:noFill/>
        </a:ln>
      </c:spPr>
    </c:plotArea>
    <c:plotVisOnly val="1"/>
    <c:dispBlanksAs val="gap"/>
    <c:showDLblsOverMax val="0"/>
  </c:chart>
  <c:spPr>
    <a:ln>
      <a:noFill/>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2016.xlsx]SituationAnalysis!PivotTable22</c:name>
    <c:fmtId val="4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SituationAnalysis!$C$622:$C$623</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SituationAnalysis!$B$624:$B$643</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SituationAnalysis!$C$624:$C$643</c:f>
              <c:numCache>
                <c:formatCode>0</c:formatCode>
                <c:ptCount val="19"/>
                <c:pt idx="0">
                  <c:v>6992</c:v>
                </c:pt>
                <c:pt idx="1">
                  <c:v>488</c:v>
                </c:pt>
                <c:pt idx="2">
                  <c:v>3456</c:v>
                </c:pt>
                <c:pt idx="4">
                  <c:v>4686</c:v>
                </c:pt>
                <c:pt idx="5">
                  <c:v>10237</c:v>
                </c:pt>
                <c:pt idx="6">
                  <c:v>139</c:v>
                </c:pt>
                <c:pt idx="9">
                  <c:v>20519</c:v>
                </c:pt>
                <c:pt idx="10">
                  <c:v>240</c:v>
                </c:pt>
                <c:pt idx="12">
                  <c:v>1401</c:v>
                </c:pt>
                <c:pt idx="13">
                  <c:v>39</c:v>
                </c:pt>
                <c:pt idx="15">
                  <c:v>524</c:v>
                </c:pt>
                <c:pt idx="17">
                  <c:v>1879</c:v>
                </c:pt>
                <c:pt idx="18">
                  <c:v>524</c:v>
                </c:pt>
              </c:numCache>
            </c:numRef>
          </c:val>
        </c:ser>
        <c:ser>
          <c:idx val="1"/>
          <c:order val="1"/>
          <c:tx>
            <c:strRef>
              <c:f>SituationAnalysis!$D$622:$D$623</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SituationAnalysis!$B$624:$B$643</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SituationAnalysis!$D$624:$D$643</c:f>
              <c:numCache>
                <c:formatCode>0</c:formatCode>
                <c:ptCount val="19"/>
                <c:pt idx="0">
                  <c:v>965</c:v>
                </c:pt>
                <c:pt idx="1">
                  <c:v>2066</c:v>
                </c:pt>
                <c:pt idx="2">
                  <c:v>141</c:v>
                </c:pt>
                <c:pt idx="3">
                  <c:v>17</c:v>
                </c:pt>
                <c:pt idx="5">
                  <c:v>3274</c:v>
                </c:pt>
                <c:pt idx="6">
                  <c:v>183</c:v>
                </c:pt>
                <c:pt idx="7">
                  <c:v>330</c:v>
                </c:pt>
                <c:pt idx="8">
                  <c:v>363</c:v>
                </c:pt>
                <c:pt idx="9">
                  <c:v>1991</c:v>
                </c:pt>
                <c:pt idx="10">
                  <c:v>973</c:v>
                </c:pt>
                <c:pt idx="11">
                  <c:v>6050</c:v>
                </c:pt>
                <c:pt idx="12">
                  <c:v>386</c:v>
                </c:pt>
                <c:pt idx="13">
                  <c:v>446</c:v>
                </c:pt>
                <c:pt idx="14">
                  <c:v>426</c:v>
                </c:pt>
                <c:pt idx="15">
                  <c:v>108</c:v>
                </c:pt>
                <c:pt idx="16">
                  <c:v>1200</c:v>
                </c:pt>
                <c:pt idx="17">
                  <c:v>8550</c:v>
                </c:pt>
              </c:numCache>
            </c:numRef>
          </c:val>
        </c:ser>
        <c:dLbls>
          <c:showLegendKey val="0"/>
          <c:showVal val="1"/>
          <c:showCatName val="0"/>
          <c:showSerName val="0"/>
          <c:showPercent val="0"/>
          <c:showBubbleSize val="0"/>
        </c:dLbls>
        <c:gapWidth val="150"/>
        <c:shape val="box"/>
        <c:axId val="482089648"/>
        <c:axId val="482090040"/>
        <c:axId val="0"/>
      </c:bar3DChart>
      <c:catAx>
        <c:axId val="4820896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090040"/>
        <c:crosses val="autoZero"/>
        <c:auto val="1"/>
        <c:lblAlgn val="ctr"/>
        <c:lblOffset val="100"/>
        <c:noMultiLvlLbl val="0"/>
      </c:catAx>
      <c:valAx>
        <c:axId val="482090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089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2016.xlsx]SituationAnalysis!PivotTable28</c:name>
    <c:fmtId val="4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SituationAnalysis!$C$657:$C$658</c:f>
              <c:strCache>
                <c:ptCount val="1"/>
                <c:pt idx="0">
                  <c:v>Documented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SituationAnalysis!$B$659:$B$661</c:f>
              <c:strCache>
                <c:ptCount val="2"/>
                <c:pt idx="0">
                  <c:v>GCA</c:v>
                </c:pt>
                <c:pt idx="1">
                  <c:v>NGCA</c:v>
                </c:pt>
              </c:strCache>
            </c:strRef>
          </c:cat>
          <c:val>
            <c:numRef>
              <c:f>SituationAnalysis!$C$659:$C$661</c:f>
              <c:numCache>
                <c:formatCode>0</c:formatCode>
                <c:ptCount val="2"/>
                <c:pt idx="0">
                  <c:v>78</c:v>
                </c:pt>
                <c:pt idx="1">
                  <c:v>16</c:v>
                </c:pt>
              </c:numCache>
            </c:numRef>
          </c:val>
        </c:ser>
        <c:ser>
          <c:idx val="1"/>
          <c:order val="1"/>
          <c:tx>
            <c:strRef>
              <c:f>SituationAnalysis!$D$657:$D$658</c:f>
              <c:strCache>
                <c:ptCount val="1"/>
                <c:pt idx="0">
                  <c:v>Not documented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SituationAnalysis!$B$659:$B$661</c:f>
              <c:strCache>
                <c:ptCount val="2"/>
                <c:pt idx="0">
                  <c:v>GCA</c:v>
                </c:pt>
                <c:pt idx="1">
                  <c:v>NGCA</c:v>
                </c:pt>
              </c:strCache>
            </c:strRef>
          </c:cat>
          <c:val>
            <c:numRef>
              <c:f>SituationAnalysis!$D$659:$D$661</c:f>
              <c:numCache>
                <c:formatCode>0</c:formatCode>
                <c:ptCount val="2"/>
                <c:pt idx="0">
                  <c:v>68</c:v>
                </c:pt>
                <c:pt idx="1">
                  <c:v>10</c:v>
                </c:pt>
              </c:numCache>
            </c:numRef>
          </c:val>
        </c:ser>
        <c:dLbls>
          <c:showLegendKey val="0"/>
          <c:showVal val="1"/>
          <c:showCatName val="0"/>
          <c:showSerName val="0"/>
          <c:showPercent val="0"/>
          <c:showBubbleSize val="0"/>
        </c:dLbls>
        <c:gapWidth val="150"/>
        <c:shape val="box"/>
        <c:axId val="630715120"/>
        <c:axId val="630715512"/>
        <c:axId val="0"/>
      </c:bar3DChart>
      <c:catAx>
        <c:axId val="6307151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15512"/>
        <c:crosses val="autoZero"/>
        <c:auto val="1"/>
        <c:lblAlgn val="ctr"/>
        <c:lblOffset val="100"/>
        <c:noMultiLvlLbl val="0"/>
      </c:catAx>
      <c:valAx>
        <c:axId val="630715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15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2016.xlsx]SituationAnalysis!PivotTable29</c:name>
    <c:fmtId val="5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SituationAnalysis!$C$674:$C$675</c:f>
              <c:strCache>
                <c:ptCount val="1"/>
                <c:pt idx="0">
                  <c:v>Documented</c:v>
                </c:pt>
              </c:strCache>
            </c:strRef>
          </c:tx>
          <c:spPr>
            <a:solidFill>
              <a:schemeClr val="accent1"/>
            </a:solidFill>
            <a:ln>
              <a:noFill/>
            </a:ln>
            <a:effectLst/>
            <a:sp3d/>
          </c:spPr>
          <c:invertIfNegative val="0"/>
          <c:cat>
            <c:strRef>
              <c:f>SituationAnalysis!$B$676:$B$686</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SituationAnalysis!$C$676:$C$686</c:f>
              <c:numCache>
                <c:formatCode>0</c:formatCode>
                <c:ptCount val="10"/>
                <c:pt idx="0">
                  <c:v>19</c:v>
                </c:pt>
                <c:pt idx="1">
                  <c:v>1</c:v>
                </c:pt>
                <c:pt idx="3">
                  <c:v>22</c:v>
                </c:pt>
                <c:pt idx="4">
                  <c:v>3</c:v>
                </c:pt>
                <c:pt idx="5">
                  <c:v>22</c:v>
                </c:pt>
                <c:pt idx="6">
                  <c:v>10</c:v>
                </c:pt>
                <c:pt idx="7">
                  <c:v>13</c:v>
                </c:pt>
                <c:pt idx="8">
                  <c:v>2</c:v>
                </c:pt>
                <c:pt idx="9">
                  <c:v>2</c:v>
                </c:pt>
              </c:numCache>
            </c:numRef>
          </c:val>
        </c:ser>
        <c:ser>
          <c:idx val="1"/>
          <c:order val="1"/>
          <c:tx>
            <c:strRef>
              <c:f>SituationAnalysis!$D$674:$D$675</c:f>
              <c:strCache>
                <c:ptCount val="1"/>
                <c:pt idx="0">
                  <c:v>Not documented</c:v>
                </c:pt>
              </c:strCache>
            </c:strRef>
          </c:tx>
          <c:spPr>
            <a:solidFill>
              <a:schemeClr val="accent2"/>
            </a:solidFill>
            <a:ln>
              <a:noFill/>
            </a:ln>
            <a:effectLst/>
            <a:sp3d/>
          </c:spPr>
          <c:invertIfNegative val="0"/>
          <c:cat>
            <c:strRef>
              <c:f>SituationAnalysis!$B$676:$B$686</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SituationAnalysis!$D$676:$D$686</c:f>
              <c:numCache>
                <c:formatCode>0</c:formatCode>
                <c:ptCount val="10"/>
                <c:pt idx="0">
                  <c:v>2</c:v>
                </c:pt>
                <c:pt idx="1">
                  <c:v>30</c:v>
                </c:pt>
                <c:pt idx="2">
                  <c:v>10</c:v>
                </c:pt>
                <c:pt idx="3">
                  <c:v>12</c:v>
                </c:pt>
                <c:pt idx="4">
                  <c:v>4</c:v>
                </c:pt>
                <c:pt idx="5">
                  <c:v>2</c:v>
                </c:pt>
                <c:pt idx="6">
                  <c:v>6</c:v>
                </c:pt>
                <c:pt idx="8">
                  <c:v>2</c:v>
                </c:pt>
                <c:pt idx="9">
                  <c:v>10</c:v>
                </c:pt>
              </c:numCache>
            </c:numRef>
          </c:val>
        </c:ser>
        <c:dLbls>
          <c:showLegendKey val="0"/>
          <c:showVal val="0"/>
          <c:showCatName val="0"/>
          <c:showSerName val="0"/>
          <c:showPercent val="0"/>
          <c:showBubbleSize val="0"/>
        </c:dLbls>
        <c:gapWidth val="150"/>
        <c:shape val="box"/>
        <c:axId val="630716296"/>
        <c:axId val="631729784"/>
        <c:axId val="0"/>
      </c:bar3DChart>
      <c:catAx>
        <c:axId val="630716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729784"/>
        <c:crosses val="autoZero"/>
        <c:auto val="1"/>
        <c:lblAlgn val="ctr"/>
        <c:lblOffset val="100"/>
        <c:noMultiLvlLbl val="0"/>
      </c:catAx>
      <c:valAx>
        <c:axId val="631729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16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2016.xlsx]SituationAnalysis!PivotTable31</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Ranking Water Coverage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SituationAnalysis!$C$161</c:f>
              <c:strCache>
                <c:ptCount val="1"/>
                <c:pt idx="0">
                  <c:v>Total</c:v>
                </c:pt>
              </c:strCache>
            </c:strRef>
          </c:tx>
          <c:explosion val="32"/>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SituationAnalysis!$B$162:$B$167</c:f>
              <c:strCache>
                <c:ptCount val="5"/>
                <c:pt idx="0">
                  <c:v>0-10%</c:v>
                </c:pt>
                <c:pt idx="1">
                  <c:v>30-45%</c:v>
                </c:pt>
                <c:pt idx="2">
                  <c:v>45-60%</c:v>
                </c:pt>
                <c:pt idx="3">
                  <c:v>60-80%</c:v>
                </c:pt>
                <c:pt idx="4">
                  <c:v>80-100%</c:v>
                </c:pt>
              </c:strCache>
            </c:strRef>
          </c:cat>
          <c:val>
            <c:numRef>
              <c:f>SituationAnalysis!$C$162:$C$167</c:f>
              <c:numCache>
                <c:formatCode>0</c:formatCode>
                <c:ptCount val="5"/>
                <c:pt idx="0">
                  <c:v>23</c:v>
                </c:pt>
                <c:pt idx="1">
                  <c:v>1</c:v>
                </c:pt>
                <c:pt idx="2">
                  <c:v>3</c:v>
                </c:pt>
                <c:pt idx="3">
                  <c:v>1</c:v>
                </c:pt>
                <c:pt idx="4">
                  <c:v>144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9044488077713537"/>
          <c:y val="0.26062372411781859"/>
          <c:w val="0.19733338423049743"/>
          <c:h val="0.4560207057451152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2016.xlsx]SituationAnalysis!PivotTable16</c:name>
    <c:fmtId val="16"/>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Number of latrine missing</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SituationAnalysis!$C$221:$C$222</c:f>
              <c:strCache>
                <c:ptCount val="1"/>
                <c:pt idx="0">
                  <c:v>Cluster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SituationAnalysis!$C$223:$C$225</c:f>
              <c:numCache>
                <c:formatCode>0</c:formatCode>
                <c:ptCount val="2"/>
                <c:pt idx="0">
                  <c:v>45.250000000000007</c:v>
                </c:pt>
              </c:numCache>
            </c:numRef>
          </c:val>
        </c:ser>
        <c:ser>
          <c:idx val="1"/>
          <c:order val="1"/>
          <c:tx>
            <c:strRef>
              <c:f>SituationAnalysis!$D$221:$D$222</c:f>
              <c:strCache>
                <c:ptCount val="1"/>
                <c:pt idx="0">
                  <c:v>Cluster 10</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SituationAnalysis!$D$223:$D$225</c:f>
              <c:numCache>
                <c:formatCode>0</c:formatCode>
                <c:ptCount val="2"/>
                <c:pt idx="0">
                  <c:v>84.850000000000009</c:v>
                </c:pt>
                <c:pt idx="1">
                  <c:v>41</c:v>
                </c:pt>
              </c:numCache>
            </c:numRef>
          </c:val>
        </c:ser>
        <c:ser>
          <c:idx val="2"/>
          <c:order val="2"/>
          <c:tx>
            <c:strRef>
              <c:f>SituationAnalysis!$E$221:$E$222</c:f>
              <c:strCache>
                <c:ptCount val="1"/>
                <c:pt idx="0">
                  <c:v>Cluster 2</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SituationAnalysis!$E$223:$E$225</c:f>
              <c:numCache>
                <c:formatCode>0</c:formatCode>
                <c:ptCount val="2"/>
                <c:pt idx="0">
                  <c:v>104.35</c:v>
                </c:pt>
              </c:numCache>
            </c:numRef>
          </c:val>
        </c:ser>
        <c:ser>
          <c:idx val="3"/>
          <c:order val="3"/>
          <c:tx>
            <c:strRef>
              <c:f>SituationAnalysis!$F$221:$F$222</c:f>
              <c:strCache>
                <c:ptCount val="1"/>
                <c:pt idx="0">
                  <c:v>Cluster 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SituationAnalysis!$F$223:$F$225</c:f>
              <c:numCache>
                <c:formatCode>0</c:formatCode>
                <c:ptCount val="2"/>
                <c:pt idx="0">
                  <c:v>11.3</c:v>
                </c:pt>
              </c:numCache>
            </c:numRef>
          </c:val>
        </c:ser>
        <c:ser>
          <c:idx val="4"/>
          <c:order val="4"/>
          <c:tx>
            <c:strRef>
              <c:f>SituationAnalysis!$G$221:$G$222</c:f>
              <c:strCache>
                <c:ptCount val="1"/>
                <c:pt idx="0">
                  <c:v>Cluster 4</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SituationAnalysis!$G$223:$G$225</c:f>
              <c:numCache>
                <c:formatCode>0</c:formatCode>
                <c:ptCount val="2"/>
                <c:pt idx="0">
                  <c:v>313.75</c:v>
                </c:pt>
                <c:pt idx="1">
                  <c:v>0.39999999999999991</c:v>
                </c:pt>
              </c:numCache>
            </c:numRef>
          </c:val>
        </c:ser>
        <c:ser>
          <c:idx val="5"/>
          <c:order val="5"/>
          <c:tx>
            <c:strRef>
              <c:f>SituationAnalysis!$H$221:$H$222</c:f>
              <c:strCache>
                <c:ptCount val="1"/>
                <c:pt idx="0">
                  <c:v>Cluster 5</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SituationAnalysis!$H$223:$H$225</c:f>
              <c:numCache>
                <c:formatCode>0</c:formatCode>
                <c:ptCount val="2"/>
                <c:pt idx="1">
                  <c:v>235.54999999999998</c:v>
                </c:pt>
              </c:numCache>
            </c:numRef>
          </c:val>
        </c:ser>
        <c:ser>
          <c:idx val="6"/>
          <c:order val="6"/>
          <c:tx>
            <c:strRef>
              <c:f>SituationAnalysis!$I$221:$I$222</c:f>
              <c:strCache>
                <c:ptCount val="1"/>
                <c:pt idx="0">
                  <c:v>Cluster 6</c:v>
                </c:pt>
              </c:strCache>
            </c:strRef>
          </c:tx>
          <c:spPr>
            <a:solidFill>
              <a:schemeClr val="accent1">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SituationAnalysis!$I$223:$I$225</c:f>
              <c:numCache>
                <c:formatCode>0</c:formatCode>
                <c:ptCount val="2"/>
                <c:pt idx="0">
                  <c:v>47.699999999999996</c:v>
                </c:pt>
                <c:pt idx="1">
                  <c:v>164.85000000000005</c:v>
                </c:pt>
              </c:numCache>
            </c:numRef>
          </c:val>
        </c:ser>
        <c:ser>
          <c:idx val="7"/>
          <c:order val="7"/>
          <c:tx>
            <c:strRef>
              <c:f>SituationAnalysis!$J$221:$J$222</c:f>
              <c:strCache>
                <c:ptCount val="1"/>
                <c:pt idx="0">
                  <c:v>Cluster 7</c:v>
                </c:pt>
              </c:strCache>
            </c:strRef>
          </c:tx>
          <c:spPr>
            <a:solidFill>
              <a:schemeClr val="accent2">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SituationAnalysis!$J$223:$J$225</c:f>
              <c:numCache>
                <c:formatCode>0</c:formatCode>
                <c:ptCount val="2"/>
                <c:pt idx="0">
                  <c:v>277.60000000000002</c:v>
                </c:pt>
                <c:pt idx="1">
                  <c:v>42.3</c:v>
                </c:pt>
              </c:numCache>
            </c:numRef>
          </c:val>
        </c:ser>
        <c:ser>
          <c:idx val="8"/>
          <c:order val="8"/>
          <c:tx>
            <c:strRef>
              <c:f>SituationAnalysis!$K$221:$K$222</c:f>
              <c:strCache>
                <c:ptCount val="1"/>
                <c:pt idx="0">
                  <c:v>Cluster 8</c:v>
                </c:pt>
              </c:strCache>
            </c:strRef>
          </c:tx>
          <c:spPr>
            <a:solidFill>
              <a:schemeClr val="accent3">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SituationAnalysis!$K$223:$K$225</c:f>
              <c:numCache>
                <c:formatCode>0</c:formatCode>
                <c:ptCount val="2"/>
                <c:pt idx="0">
                  <c:v>239.10000000000002</c:v>
                </c:pt>
              </c:numCache>
            </c:numRef>
          </c:val>
        </c:ser>
        <c:ser>
          <c:idx val="9"/>
          <c:order val="9"/>
          <c:tx>
            <c:strRef>
              <c:f>SituationAnalysis!$L$221:$L$222</c:f>
              <c:strCache>
                <c:ptCount val="1"/>
                <c:pt idx="0">
                  <c:v>Cluster 9</c:v>
                </c:pt>
              </c:strCache>
            </c:strRef>
          </c:tx>
          <c:spPr>
            <a:solidFill>
              <a:schemeClr val="accent4">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SituationAnalysis!$B$223:$B$225</c:f>
              <c:strCache>
                <c:ptCount val="2"/>
                <c:pt idx="0">
                  <c:v>GCA</c:v>
                </c:pt>
                <c:pt idx="1">
                  <c:v>NGCA</c:v>
                </c:pt>
              </c:strCache>
            </c:strRef>
          </c:cat>
          <c:val>
            <c:numRef>
              <c:f>SituationAnalysis!$L$223:$L$225</c:f>
              <c:numCache>
                <c:formatCode>0</c:formatCode>
                <c:ptCount val="2"/>
                <c:pt idx="0">
                  <c:v>17.05</c:v>
                </c:pt>
                <c:pt idx="1">
                  <c:v>22.3</c:v>
                </c:pt>
              </c:numCache>
            </c:numRef>
          </c:val>
        </c:ser>
        <c:dLbls>
          <c:showLegendKey val="0"/>
          <c:showVal val="1"/>
          <c:showCatName val="0"/>
          <c:showSerName val="0"/>
          <c:showPercent val="0"/>
          <c:showBubbleSize val="0"/>
        </c:dLbls>
        <c:gapWidth val="150"/>
        <c:shape val="box"/>
        <c:axId val="631730960"/>
        <c:axId val="631731352"/>
        <c:axId val="0"/>
      </c:bar3DChart>
      <c:catAx>
        <c:axId val="6317309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731352"/>
        <c:crosses val="autoZero"/>
        <c:auto val="1"/>
        <c:lblAlgn val="ctr"/>
        <c:lblOffset val="100"/>
        <c:noMultiLvlLbl val="0"/>
      </c:catAx>
      <c:valAx>
        <c:axId val="631731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73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2016.xlsx]SituationAnalysis!PivotTable10</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Bathroom</a:t>
            </a:r>
            <a:r>
              <a:rPr lang="en-US" b="1" baseline="0"/>
              <a:t> coverage end of project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4.2163612878750242E-2"/>
          <c:y val="0.13179342723004694"/>
          <c:w val="0.94062919171344828"/>
          <c:h val="0.68764925511071684"/>
        </c:manualLayout>
      </c:layout>
      <c:bar3DChart>
        <c:barDir val="col"/>
        <c:grouping val="stacked"/>
        <c:varyColors val="0"/>
        <c:ser>
          <c:idx val="0"/>
          <c:order val="0"/>
          <c:tx>
            <c:strRef>
              <c:f>SituationAnalysis!$C$334</c:f>
              <c:strCache>
                <c:ptCount val="1"/>
                <c:pt idx="0">
                  <c:v>% Bathroom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SituationAnalysis!$B$335:$B$337</c:f>
              <c:strCache>
                <c:ptCount val="2"/>
                <c:pt idx="0">
                  <c:v>GCA</c:v>
                </c:pt>
                <c:pt idx="1">
                  <c:v>NGCA</c:v>
                </c:pt>
              </c:strCache>
            </c:strRef>
          </c:cat>
          <c:val>
            <c:numRef>
              <c:f>SituationAnalysis!$C$335:$C$337</c:f>
              <c:numCache>
                <c:formatCode>0%</c:formatCode>
                <c:ptCount val="2"/>
                <c:pt idx="0">
                  <c:v>0.52949528075507923</c:v>
                </c:pt>
                <c:pt idx="1">
                  <c:v>0.5239111422074515</c:v>
                </c:pt>
              </c:numCache>
            </c:numRef>
          </c:val>
        </c:ser>
        <c:ser>
          <c:idx val="1"/>
          <c:order val="1"/>
          <c:tx>
            <c:strRef>
              <c:f>SituationAnalysis!$D$334</c:f>
              <c:strCache>
                <c:ptCount val="1"/>
                <c:pt idx="0">
                  <c:v>% Projection Bathrrom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SituationAnalysis!$B$335:$B$337</c:f>
              <c:strCache>
                <c:ptCount val="2"/>
                <c:pt idx="0">
                  <c:v>GCA</c:v>
                </c:pt>
                <c:pt idx="1">
                  <c:v>NGCA</c:v>
                </c:pt>
              </c:strCache>
            </c:strRef>
          </c:cat>
          <c:val>
            <c:numRef>
              <c:f>SituationAnalysis!$D$335:$D$337</c:f>
              <c:numCache>
                <c:formatCode>0%</c:formatCode>
                <c:ptCount val="2"/>
                <c:pt idx="0">
                  <c:v>3.8418137218045122E-2</c:v>
                </c:pt>
                <c:pt idx="1">
                  <c:v>4.7405982158475433E-3</c:v>
                </c:pt>
              </c:numCache>
            </c:numRef>
          </c:val>
        </c:ser>
        <c:dLbls>
          <c:showLegendKey val="0"/>
          <c:showVal val="1"/>
          <c:showCatName val="0"/>
          <c:showSerName val="0"/>
          <c:showPercent val="0"/>
          <c:showBubbleSize val="0"/>
        </c:dLbls>
        <c:gapWidth val="150"/>
        <c:shape val="box"/>
        <c:axId val="535511792"/>
        <c:axId val="535512184"/>
        <c:axId val="0"/>
      </c:bar3DChart>
      <c:catAx>
        <c:axId val="5355117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12184"/>
        <c:crosses val="autoZero"/>
        <c:auto val="1"/>
        <c:lblAlgn val="ctr"/>
        <c:lblOffset val="100"/>
        <c:noMultiLvlLbl val="0"/>
      </c:catAx>
      <c:valAx>
        <c:axId val="535512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1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Needs coverage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SituationAnalysis!$AA$83</c:f>
              <c:strCache>
                <c:ptCount val="1"/>
                <c:pt idx="0">
                  <c:v>% Water Need coverage</c:v>
                </c:pt>
              </c:strCache>
            </c:strRef>
          </c:tx>
          <c:spPr>
            <a:solidFill>
              <a:schemeClr val="accent1"/>
            </a:solidFill>
            <a:ln>
              <a:noFill/>
            </a:ln>
            <a:effectLst/>
          </c:spPr>
          <c:invertIfNegative val="0"/>
          <c:cat>
            <c:strRef>
              <c:f>SituationAnalysis!$Z$84:$Z$224</c:f>
              <c:strCache>
                <c:ptCount val="140"/>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Border Post 8</c:v>
                </c:pt>
                <c:pt idx="12">
                  <c:v>Bum Tsit Pa * (1)</c:v>
                </c:pt>
                <c:pt idx="13">
                  <c:v>Bum Tsit Pa * (2)</c:v>
                </c:pt>
                <c:pt idx="14">
                  <c:v>Chin Church, Seik Mu</c:v>
                </c:pt>
                <c:pt idx="15">
                  <c:v>Chipwi KBC camp</c:v>
                </c:pt>
                <c:pt idx="16">
                  <c:v>Clutural Compound</c:v>
                </c:pt>
                <c:pt idx="17">
                  <c:v>Dhama Rakhita, Nyein Chan Tar Yar Ward(Lon Khin)</c:v>
                </c:pt>
                <c:pt idx="18">
                  <c:v>Du Kahtawng Qtr. 14</c:v>
                </c:pt>
                <c:pt idx="19">
                  <c:v>Du Kahtawng Qtr. 4</c:v>
                </c:pt>
                <c:pt idx="20">
                  <c:v>Du Kahtawng Qtr. 5</c:v>
                </c:pt>
                <c:pt idx="21">
                  <c:v>Dum Bung </c:v>
                </c:pt>
                <c:pt idx="22">
                  <c:v>Hkat Cho </c:v>
                </c:pt>
                <c:pt idx="23">
                  <c:v>Hkau Shau (BP 12)</c:v>
                </c:pt>
                <c:pt idx="24">
                  <c:v>Hlaing Naung Baptist</c:v>
                </c:pt>
                <c:pt idx="25">
                  <c:v>Hmaw Wan, Anglican</c:v>
                </c:pt>
                <c:pt idx="26">
                  <c:v>Hpakant Baptist Church, Nam Ma Hpit</c:v>
                </c:pt>
                <c:pt idx="27">
                  <c:v>Hpare Hkyer - BP6</c:v>
                </c:pt>
                <c:pt idx="28">
                  <c:v>Hpun Lum Yang </c:v>
                </c:pt>
                <c:pt idx="29">
                  <c:v>Htoi San Church*</c:v>
                </c:pt>
                <c:pt idx="30">
                  <c:v>Jan Mai Kawng Baptist Church</c:v>
                </c:pt>
                <c:pt idx="31">
                  <c:v>Jan Mai Kawng Catholic Church</c:v>
                </c:pt>
                <c:pt idx="32">
                  <c:v>Jaw 2</c:v>
                </c:pt>
                <c:pt idx="33">
                  <c:v>Je Yang Hka </c:v>
                </c:pt>
                <c:pt idx="34">
                  <c:v>Kachin Su Baptist Church (ECCD)</c:v>
                </c:pt>
                <c:pt idx="35">
                  <c:v>Khar Nan (1) Baptist Church</c:v>
                </c:pt>
                <c:pt idx="36">
                  <c:v>Kone Khem Camp</c:v>
                </c:pt>
                <c:pt idx="37">
                  <c:v>Kutkai downtown (KBC Church)</c:v>
                </c:pt>
                <c:pt idx="38">
                  <c:v>Kutkai downtown (RC Church)</c:v>
                </c:pt>
                <c:pt idx="39">
                  <c:v>Kyun Pin Thar Baptist Church</c:v>
                </c:pt>
                <c:pt idx="40">
                  <c:v>Kyun Taw Baptist Church </c:v>
                </c:pt>
                <c:pt idx="41">
                  <c:v>La Ja</c:v>
                </c:pt>
                <c:pt idx="42">
                  <c:v>Lana Zup Ja *</c:v>
                </c:pt>
                <c:pt idx="43">
                  <c:v>Lawk Awng Mare D. (Sinbo Area)</c:v>
                </c:pt>
                <c:pt idx="44">
                  <c:v>Le Kone Bethlehem Church</c:v>
                </c:pt>
                <c:pt idx="45">
                  <c:v>Le Kone Ziun Baptist Church </c:v>
                </c:pt>
                <c:pt idx="46">
                  <c:v>Lhaovao Baptist Church (LBC)</c:v>
                </c:pt>
                <c:pt idx="47">
                  <c:v>Lisu Baptist Church, Maw Shan Vil,. Seik Mu</c:v>
                </c:pt>
                <c:pt idx="48">
                  <c:v>Lisu Baptist Church, Maw Wan Ward</c:v>
                </c:pt>
                <c:pt idx="49">
                  <c:v>Lisu Boarding-House</c:v>
                </c:pt>
                <c:pt idx="50">
                  <c:v>Loi Je Catholic Church</c:v>
                </c:pt>
                <c:pt idx="51">
                  <c:v>Loi Je Lisu  (1) Camp</c:v>
                </c:pt>
                <c:pt idx="52">
                  <c:v>Loi Je Lisu  (2) Camp</c:v>
                </c:pt>
                <c:pt idx="53">
                  <c:v>Loi Je Lisu  (3) Camp</c:v>
                </c:pt>
                <c:pt idx="54">
                  <c:v>Loi Je Nyaung Na Pin </c:v>
                </c:pt>
                <c:pt idx="55">
                  <c:v>Loi Je Seng Ja </c:v>
                </c:pt>
                <c:pt idx="56">
                  <c:v>Mading Baptist Church</c:v>
                </c:pt>
                <c:pt idx="57">
                  <c:v>Maga Yang </c:v>
                </c:pt>
                <c:pt idx="58">
                  <c:v>Maina AG Church</c:v>
                </c:pt>
                <c:pt idx="59">
                  <c:v>Maina Catholic Church (St. Joseph)</c:v>
                </c:pt>
                <c:pt idx="60">
                  <c:v>Maina KBC (Bawng Ring)</c:v>
                </c:pt>
                <c:pt idx="61">
                  <c:v>Maina Lawang Baptist Church</c:v>
                </c:pt>
                <c:pt idx="62">
                  <c:v>Maing Khaung Baptist Church</c:v>
                </c:pt>
                <c:pt idx="63">
                  <c:v>Maing Khaung Catholic Church</c:v>
                </c:pt>
                <c:pt idx="64">
                  <c:v>Maliyang Baptist Church</c:v>
                </c:pt>
                <c:pt idx="65">
                  <c:v>Man Bung Catholic compound</c:v>
                </c:pt>
                <c:pt idx="66">
                  <c:v>Man Bung Edin Baptist Church</c:v>
                </c:pt>
                <c:pt idx="67">
                  <c:v>Man Hkring Baptist Church</c:v>
                </c:pt>
                <c:pt idx="68">
                  <c:v>Man Wing Baptist Church*</c:v>
                </c:pt>
                <c:pt idx="69">
                  <c:v>Man Wing Catholic Church*</c:v>
                </c:pt>
                <c:pt idx="70">
                  <c:v>Mandalay Monestry</c:v>
                </c:pt>
                <c:pt idx="71">
                  <c:v>Mandung - Jinghpaw</c:v>
                </c:pt>
                <c:pt idx="72">
                  <c:v>Mandung - RC</c:v>
                </c:pt>
                <c:pt idx="73">
                  <c:v>Mang Hawng Baptist Church</c:v>
                </c:pt>
                <c:pt idx="74">
                  <c:v>Mansi Baptist Church*</c:v>
                </c:pt>
                <c:pt idx="75">
                  <c:v>Maw Hpawng Hka Nan Baptist Church</c:v>
                </c:pt>
                <c:pt idx="76">
                  <c:v>Maw Hpawng Lhaovo Baptist Church</c:v>
                </c:pt>
                <c:pt idx="77">
                  <c:v>Maw Wan, Mu-yin Baptist Church</c:v>
                </c:pt>
                <c:pt idx="78">
                  <c:v>Mine Yu Lay village</c:v>
                </c:pt>
                <c:pt idx="79">
                  <c:v>Momauk Baptist Church</c:v>
                </c:pt>
                <c:pt idx="80">
                  <c:v>Mungji Pa Dabang (Baptist Church)         </c:v>
                </c:pt>
                <c:pt idx="81">
                  <c:v>Mungji Pa Dabang (RC Church)         </c:v>
                </c:pt>
                <c:pt idx="82">
                  <c:v>Muse KBC Church</c:v>
                </c:pt>
                <c:pt idx="83">
                  <c:v>Muse RC Church</c:v>
                </c:pt>
                <c:pt idx="84">
                  <c:v>Mu-yin Baptist Church</c:v>
                </c:pt>
                <c:pt idx="85">
                  <c:v>MWG -RC2</c:v>
                </c:pt>
                <c:pt idx="86">
                  <c:v>Nam Hkam - Nay Win Ni (Palawng)</c:v>
                </c:pt>
                <c:pt idx="87">
                  <c:v>Nam Hkam (KBC Jaw Wang)</c:v>
                </c:pt>
                <c:pt idx="88">
                  <c:v>Nam Hkam Catholic Church ( St. Thomas I)</c:v>
                </c:pt>
                <c:pt idx="89">
                  <c:v>Nam Hpak Ka Mare </c:v>
                </c:pt>
                <c:pt idx="90">
                  <c:v>Nam Ma Phyit, COC</c:v>
                </c:pt>
                <c:pt idx="91">
                  <c:v>Namtu Baptist</c:v>
                </c:pt>
                <c:pt idx="92">
                  <c:v>Nan Kway St. John Catholic Church</c:v>
                </c:pt>
                <c:pt idx="93">
                  <c:v>Nant Hlaing Church</c:v>
                </c:pt>
                <c:pt idx="94">
                  <c:v>Nant Ma Hpit Catholic Church</c:v>
                </c:pt>
                <c:pt idx="95">
                  <c:v>Narte</c:v>
                </c:pt>
                <c:pt idx="96">
                  <c:v>Nat Gyi Kone Baptist Church </c:v>
                </c:pt>
                <c:pt idx="97">
                  <c:v>Nawng Hee Village</c:v>
                </c:pt>
                <c:pt idx="98">
                  <c:v>Nawng Ing (Indawgyi) Baptist Church  </c:v>
                </c:pt>
                <c:pt idx="99">
                  <c:v>Nhkawng Pa </c:v>
                </c:pt>
                <c:pt idx="100">
                  <c:v>Ni Thaw Ka Monestry</c:v>
                </c:pt>
                <c:pt idx="101">
                  <c:v>Njang Dung Baptist Church </c:v>
                </c:pt>
                <c:pt idx="102">
                  <c:v>Pa Dauk Myaing(Pa La Na)</c:v>
                </c:pt>
                <c:pt idx="103">
                  <c:v>Pa Kahtawng 1 A</c:v>
                </c:pt>
                <c:pt idx="104">
                  <c:v>Pa Kahtawng 1B</c:v>
                </c:pt>
                <c:pt idx="105">
                  <c:v>Pa Kahtawng 2</c:v>
                </c:pt>
                <c:pt idx="106">
                  <c:v>Pan Wa</c:v>
                </c:pt>
                <c:pt idx="107">
                  <c:v>Phan Khar Kone*</c:v>
                </c:pt>
                <c:pt idx="108">
                  <c:v>Rawan Baptist Church, Maw Shan Vil., Seik Mu</c:v>
                </c:pt>
                <c:pt idx="109">
                  <c:v>Robert Church*</c:v>
                </c:pt>
                <c:pt idx="110">
                  <c:v>Sai Nai Baptish Church, Maw Shan Vil., Seki Mu</c:v>
                </c:pt>
                <c:pt idx="111">
                  <c:v>Shatapru Sut Ngai Tawng</c:v>
                </c:pt>
                <c:pt idx="112">
                  <c:v>Shatapru Thida Aye Baptist Church</c:v>
                </c:pt>
                <c:pt idx="113">
                  <c:v>Shwe Gu Baptist Church</c:v>
                </c:pt>
                <c:pt idx="114">
                  <c:v>Shwe Gu Catholic Church</c:v>
                </c:pt>
                <c:pt idx="115">
                  <c:v>Shwe Zet Baptist Church</c:v>
                </c:pt>
                <c:pt idx="116">
                  <c:v>St. Patrick Catholic Church </c:v>
                </c:pt>
                <c:pt idx="117">
                  <c:v>Ta Gun Taing Monastery (Shwe Kyi Na)</c:v>
                </c:pt>
                <c:pt idx="118">
                  <c:v>Tat Kone (Ra Da Kawng)</c:v>
                </c:pt>
                <c:pt idx="119">
                  <c:v>Tat Kone Baptist Church</c:v>
                </c:pt>
                <c:pt idx="120">
                  <c:v>Tat Kone Emanuel Church</c:v>
                </c:pt>
                <c:pt idx="121">
                  <c:v>Tat Kone Galile Baptist Church</c:v>
                </c:pt>
                <c:pt idx="122">
                  <c:v>Tat Kone San Pya Baptist Church</c:v>
                </c:pt>
                <c:pt idx="123">
                  <c:v>Ward 2 Sai Taung Baptist Church, Seik Mu </c:v>
                </c:pt>
                <c:pt idx="124">
                  <c:v>Wun Tho Buddhist Monastery</c:v>
                </c:pt>
                <c:pt idx="125">
                  <c:v>Yoe Kyi Monastery</c:v>
                </c:pt>
                <c:pt idx="126">
                  <c:v>Yumar Baptist Church</c:v>
                </c:pt>
                <c:pt idx="127">
                  <c:v>Zup Aung Camp</c:v>
                </c:pt>
                <c:pt idx="128">
                  <c:v>Bum Tsit Pa * (3)</c:v>
                </c:pt>
                <c:pt idx="129">
                  <c:v>Ku Day Maw KBC</c:v>
                </c:pt>
                <c:pt idx="130">
                  <c:v>Loi Je Lisu  (4) Camp</c:v>
                </c:pt>
                <c:pt idx="131">
                  <c:v>Pan Wa (Saw Zam) camp </c:v>
                </c:pt>
                <c:pt idx="132">
                  <c:v>Lung Sut</c:v>
                </c:pt>
                <c:pt idx="133">
                  <c:v>Nam Sa Larp</c:v>
                </c:pt>
                <c:pt idx="134">
                  <c:v>Sar Hmaw - KBC</c:v>
                </c:pt>
                <c:pt idx="135">
                  <c:v>Ma Hawng RC </c:v>
                </c:pt>
                <c:pt idx="136">
                  <c:v>Pan Ku</c:v>
                </c:pt>
                <c:pt idx="137">
                  <c:v>Ndup Yang 1</c:v>
                </c:pt>
                <c:pt idx="138">
                  <c:v>Ndup Yang 2</c:v>
                </c:pt>
                <c:pt idx="139">
                  <c:v>Loi Je Seng Ja Extention</c:v>
                </c:pt>
              </c:strCache>
            </c:strRef>
          </c:cat>
          <c:val>
            <c:numRef>
              <c:f>SituationAnalysis!$AA$84:$AA$224</c:f>
              <c:numCache>
                <c:formatCode>0%</c:formatCode>
                <c:ptCount val="14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0.4790764790764791</c:v>
                </c:pt>
                <c:pt idx="27">
                  <c:v>9.7951219512195112E-2</c:v>
                </c:pt>
                <c:pt idx="28">
                  <c:v>1</c:v>
                </c:pt>
                <c:pt idx="29">
                  <c:v>1</c:v>
                </c:pt>
                <c:pt idx="30">
                  <c:v>1</c:v>
                </c:pt>
                <c:pt idx="31">
                  <c:v>1</c:v>
                </c:pt>
                <c:pt idx="32">
                  <c:v>1</c:v>
                </c:pt>
                <c:pt idx="33">
                  <c:v>1</c:v>
                </c:pt>
                <c:pt idx="34">
                  <c:v>1</c:v>
                </c:pt>
                <c:pt idx="35">
                  <c:v>1</c:v>
                </c:pt>
                <c:pt idx="36">
                  <c:v>1</c:v>
                </c:pt>
                <c:pt idx="37">
                  <c:v>0.43715846994535523</c:v>
                </c:pt>
                <c:pt idx="38">
                  <c:v>1</c:v>
                </c:pt>
                <c:pt idx="39">
                  <c:v>1</c:v>
                </c:pt>
                <c:pt idx="40">
                  <c:v>1</c:v>
                </c:pt>
                <c:pt idx="41">
                  <c:v>0</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0.92961487383798147</c:v>
                </c:pt>
                <c:pt idx="81">
                  <c:v>1</c:v>
                </c:pt>
                <c:pt idx="82">
                  <c:v>1</c:v>
                </c:pt>
                <c:pt idx="83">
                  <c:v>0.52493438320209973</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0</c:v>
                </c:pt>
                <c:pt idx="138">
                  <c:v>0</c:v>
                </c:pt>
                <c:pt idx="139">
                  <c:v>1</c:v>
                </c:pt>
              </c:numCache>
            </c:numRef>
          </c:val>
        </c:ser>
        <c:ser>
          <c:idx val="1"/>
          <c:order val="1"/>
          <c:tx>
            <c:strRef>
              <c:f>SituationAnalysis!$AB$83</c:f>
              <c:strCache>
                <c:ptCount val="1"/>
                <c:pt idx="0">
                  <c:v>% Latrine need coverage</c:v>
                </c:pt>
              </c:strCache>
            </c:strRef>
          </c:tx>
          <c:spPr>
            <a:solidFill>
              <a:schemeClr val="accent2"/>
            </a:solidFill>
            <a:ln>
              <a:noFill/>
            </a:ln>
            <a:effectLst/>
          </c:spPr>
          <c:invertIfNegative val="0"/>
          <c:cat>
            <c:strRef>
              <c:f>SituationAnalysis!$Z$84:$Z$224</c:f>
              <c:strCache>
                <c:ptCount val="140"/>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Border Post 8</c:v>
                </c:pt>
                <c:pt idx="12">
                  <c:v>Bum Tsit Pa * (1)</c:v>
                </c:pt>
                <c:pt idx="13">
                  <c:v>Bum Tsit Pa * (2)</c:v>
                </c:pt>
                <c:pt idx="14">
                  <c:v>Chin Church, Seik Mu</c:v>
                </c:pt>
                <c:pt idx="15">
                  <c:v>Chipwi KBC camp</c:v>
                </c:pt>
                <c:pt idx="16">
                  <c:v>Clutural Compound</c:v>
                </c:pt>
                <c:pt idx="17">
                  <c:v>Dhama Rakhita, Nyein Chan Tar Yar Ward(Lon Khin)</c:v>
                </c:pt>
                <c:pt idx="18">
                  <c:v>Du Kahtawng Qtr. 14</c:v>
                </c:pt>
                <c:pt idx="19">
                  <c:v>Du Kahtawng Qtr. 4</c:v>
                </c:pt>
                <c:pt idx="20">
                  <c:v>Du Kahtawng Qtr. 5</c:v>
                </c:pt>
                <c:pt idx="21">
                  <c:v>Dum Bung </c:v>
                </c:pt>
                <c:pt idx="22">
                  <c:v>Hkat Cho </c:v>
                </c:pt>
                <c:pt idx="23">
                  <c:v>Hkau Shau (BP 12)</c:v>
                </c:pt>
                <c:pt idx="24">
                  <c:v>Hlaing Naung Baptist</c:v>
                </c:pt>
                <c:pt idx="25">
                  <c:v>Hmaw Wan, Anglican</c:v>
                </c:pt>
                <c:pt idx="26">
                  <c:v>Hpakant Baptist Church, Nam Ma Hpit</c:v>
                </c:pt>
                <c:pt idx="27">
                  <c:v>Hpare Hkyer - BP6</c:v>
                </c:pt>
                <c:pt idx="28">
                  <c:v>Hpun Lum Yang </c:v>
                </c:pt>
                <c:pt idx="29">
                  <c:v>Htoi San Church*</c:v>
                </c:pt>
                <c:pt idx="30">
                  <c:v>Jan Mai Kawng Baptist Church</c:v>
                </c:pt>
                <c:pt idx="31">
                  <c:v>Jan Mai Kawng Catholic Church</c:v>
                </c:pt>
                <c:pt idx="32">
                  <c:v>Jaw 2</c:v>
                </c:pt>
                <c:pt idx="33">
                  <c:v>Je Yang Hka </c:v>
                </c:pt>
                <c:pt idx="34">
                  <c:v>Kachin Su Baptist Church (ECCD)</c:v>
                </c:pt>
                <c:pt idx="35">
                  <c:v>Khar Nan (1) Baptist Church</c:v>
                </c:pt>
                <c:pt idx="36">
                  <c:v>Kone Khem Camp</c:v>
                </c:pt>
                <c:pt idx="37">
                  <c:v>Kutkai downtown (KBC Church)</c:v>
                </c:pt>
                <c:pt idx="38">
                  <c:v>Kutkai downtown (RC Church)</c:v>
                </c:pt>
                <c:pt idx="39">
                  <c:v>Kyun Pin Thar Baptist Church</c:v>
                </c:pt>
                <c:pt idx="40">
                  <c:v>Kyun Taw Baptist Church </c:v>
                </c:pt>
                <c:pt idx="41">
                  <c:v>La Ja</c:v>
                </c:pt>
                <c:pt idx="42">
                  <c:v>Lana Zup Ja *</c:v>
                </c:pt>
                <c:pt idx="43">
                  <c:v>Lawk Awng Mare D. (Sinbo Area)</c:v>
                </c:pt>
                <c:pt idx="44">
                  <c:v>Le Kone Bethlehem Church</c:v>
                </c:pt>
                <c:pt idx="45">
                  <c:v>Le Kone Ziun Baptist Church </c:v>
                </c:pt>
                <c:pt idx="46">
                  <c:v>Lhaovao Baptist Church (LBC)</c:v>
                </c:pt>
                <c:pt idx="47">
                  <c:v>Lisu Baptist Church, Maw Shan Vil,. Seik Mu</c:v>
                </c:pt>
                <c:pt idx="48">
                  <c:v>Lisu Baptist Church, Maw Wan Ward</c:v>
                </c:pt>
                <c:pt idx="49">
                  <c:v>Lisu Boarding-House</c:v>
                </c:pt>
                <c:pt idx="50">
                  <c:v>Loi Je Catholic Church</c:v>
                </c:pt>
                <c:pt idx="51">
                  <c:v>Loi Je Lisu  (1) Camp</c:v>
                </c:pt>
                <c:pt idx="52">
                  <c:v>Loi Je Lisu  (2) Camp</c:v>
                </c:pt>
                <c:pt idx="53">
                  <c:v>Loi Je Lisu  (3) Camp</c:v>
                </c:pt>
                <c:pt idx="54">
                  <c:v>Loi Je Nyaung Na Pin </c:v>
                </c:pt>
                <c:pt idx="55">
                  <c:v>Loi Je Seng Ja </c:v>
                </c:pt>
                <c:pt idx="56">
                  <c:v>Mading Baptist Church</c:v>
                </c:pt>
                <c:pt idx="57">
                  <c:v>Maga Yang </c:v>
                </c:pt>
                <c:pt idx="58">
                  <c:v>Maina AG Church</c:v>
                </c:pt>
                <c:pt idx="59">
                  <c:v>Maina Catholic Church (St. Joseph)</c:v>
                </c:pt>
                <c:pt idx="60">
                  <c:v>Maina KBC (Bawng Ring)</c:v>
                </c:pt>
                <c:pt idx="61">
                  <c:v>Maina Lawang Baptist Church</c:v>
                </c:pt>
                <c:pt idx="62">
                  <c:v>Maing Khaung Baptist Church</c:v>
                </c:pt>
                <c:pt idx="63">
                  <c:v>Maing Khaung Catholic Church</c:v>
                </c:pt>
                <c:pt idx="64">
                  <c:v>Maliyang Baptist Church</c:v>
                </c:pt>
                <c:pt idx="65">
                  <c:v>Man Bung Catholic compound</c:v>
                </c:pt>
                <c:pt idx="66">
                  <c:v>Man Bung Edin Baptist Church</c:v>
                </c:pt>
                <c:pt idx="67">
                  <c:v>Man Hkring Baptist Church</c:v>
                </c:pt>
                <c:pt idx="68">
                  <c:v>Man Wing Baptist Church*</c:v>
                </c:pt>
                <c:pt idx="69">
                  <c:v>Man Wing Catholic Church*</c:v>
                </c:pt>
                <c:pt idx="70">
                  <c:v>Mandalay Monestry</c:v>
                </c:pt>
                <c:pt idx="71">
                  <c:v>Mandung - Jinghpaw</c:v>
                </c:pt>
                <c:pt idx="72">
                  <c:v>Mandung - RC</c:v>
                </c:pt>
                <c:pt idx="73">
                  <c:v>Mang Hawng Baptist Church</c:v>
                </c:pt>
                <c:pt idx="74">
                  <c:v>Mansi Baptist Church*</c:v>
                </c:pt>
                <c:pt idx="75">
                  <c:v>Maw Hpawng Hka Nan Baptist Church</c:v>
                </c:pt>
                <c:pt idx="76">
                  <c:v>Maw Hpawng Lhaovo Baptist Church</c:v>
                </c:pt>
                <c:pt idx="77">
                  <c:v>Maw Wan, Mu-yin Baptist Church</c:v>
                </c:pt>
                <c:pt idx="78">
                  <c:v>Mine Yu Lay village</c:v>
                </c:pt>
                <c:pt idx="79">
                  <c:v>Momauk Baptist Church</c:v>
                </c:pt>
                <c:pt idx="80">
                  <c:v>Mungji Pa Dabang (Baptist Church)         </c:v>
                </c:pt>
                <c:pt idx="81">
                  <c:v>Mungji Pa Dabang (RC Church)         </c:v>
                </c:pt>
                <c:pt idx="82">
                  <c:v>Muse KBC Church</c:v>
                </c:pt>
                <c:pt idx="83">
                  <c:v>Muse RC Church</c:v>
                </c:pt>
                <c:pt idx="84">
                  <c:v>Mu-yin Baptist Church</c:v>
                </c:pt>
                <c:pt idx="85">
                  <c:v>MWG -RC2</c:v>
                </c:pt>
                <c:pt idx="86">
                  <c:v>Nam Hkam - Nay Win Ni (Palawng)</c:v>
                </c:pt>
                <c:pt idx="87">
                  <c:v>Nam Hkam (KBC Jaw Wang)</c:v>
                </c:pt>
                <c:pt idx="88">
                  <c:v>Nam Hkam Catholic Church ( St. Thomas I)</c:v>
                </c:pt>
                <c:pt idx="89">
                  <c:v>Nam Hpak Ka Mare </c:v>
                </c:pt>
                <c:pt idx="90">
                  <c:v>Nam Ma Phyit, COC</c:v>
                </c:pt>
                <c:pt idx="91">
                  <c:v>Namtu Baptist</c:v>
                </c:pt>
                <c:pt idx="92">
                  <c:v>Nan Kway St. John Catholic Church</c:v>
                </c:pt>
                <c:pt idx="93">
                  <c:v>Nant Hlaing Church</c:v>
                </c:pt>
                <c:pt idx="94">
                  <c:v>Nant Ma Hpit Catholic Church</c:v>
                </c:pt>
                <c:pt idx="95">
                  <c:v>Narte</c:v>
                </c:pt>
                <c:pt idx="96">
                  <c:v>Nat Gyi Kone Baptist Church </c:v>
                </c:pt>
                <c:pt idx="97">
                  <c:v>Nawng Hee Village</c:v>
                </c:pt>
                <c:pt idx="98">
                  <c:v>Nawng Ing (Indawgyi) Baptist Church  </c:v>
                </c:pt>
                <c:pt idx="99">
                  <c:v>Nhkawng Pa </c:v>
                </c:pt>
                <c:pt idx="100">
                  <c:v>Ni Thaw Ka Monestry</c:v>
                </c:pt>
                <c:pt idx="101">
                  <c:v>Njang Dung Baptist Church </c:v>
                </c:pt>
                <c:pt idx="102">
                  <c:v>Pa Dauk Myaing(Pa La Na)</c:v>
                </c:pt>
                <c:pt idx="103">
                  <c:v>Pa Kahtawng 1 A</c:v>
                </c:pt>
                <c:pt idx="104">
                  <c:v>Pa Kahtawng 1B</c:v>
                </c:pt>
                <c:pt idx="105">
                  <c:v>Pa Kahtawng 2</c:v>
                </c:pt>
                <c:pt idx="106">
                  <c:v>Pan Wa</c:v>
                </c:pt>
                <c:pt idx="107">
                  <c:v>Phan Khar Kone*</c:v>
                </c:pt>
                <c:pt idx="108">
                  <c:v>Rawan Baptist Church, Maw Shan Vil., Seik Mu</c:v>
                </c:pt>
                <c:pt idx="109">
                  <c:v>Robert Church*</c:v>
                </c:pt>
                <c:pt idx="110">
                  <c:v>Sai Nai Baptish Church, Maw Shan Vil., Seki Mu</c:v>
                </c:pt>
                <c:pt idx="111">
                  <c:v>Shatapru Sut Ngai Tawng</c:v>
                </c:pt>
                <c:pt idx="112">
                  <c:v>Shatapru Thida Aye Baptist Church</c:v>
                </c:pt>
                <c:pt idx="113">
                  <c:v>Shwe Gu Baptist Church</c:v>
                </c:pt>
                <c:pt idx="114">
                  <c:v>Shwe Gu Catholic Church</c:v>
                </c:pt>
                <c:pt idx="115">
                  <c:v>Shwe Zet Baptist Church</c:v>
                </c:pt>
                <c:pt idx="116">
                  <c:v>St. Patrick Catholic Church </c:v>
                </c:pt>
                <c:pt idx="117">
                  <c:v>Ta Gun Taing Monastery (Shwe Kyi Na)</c:v>
                </c:pt>
                <c:pt idx="118">
                  <c:v>Tat Kone (Ra Da Kawng)</c:v>
                </c:pt>
                <c:pt idx="119">
                  <c:v>Tat Kone Baptist Church</c:v>
                </c:pt>
                <c:pt idx="120">
                  <c:v>Tat Kone Emanuel Church</c:v>
                </c:pt>
                <c:pt idx="121">
                  <c:v>Tat Kone Galile Baptist Church</c:v>
                </c:pt>
                <c:pt idx="122">
                  <c:v>Tat Kone San Pya Baptist Church</c:v>
                </c:pt>
                <c:pt idx="123">
                  <c:v>Ward 2 Sai Taung Baptist Church, Seik Mu </c:v>
                </c:pt>
                <c:pt idx="124">
                  <c:v>Wun Tho Buddhist Monastery</c:v>
                </c:pt>
                <c:pt idx="125">
                  <c:v>Yoe Kyi Monastery</c:v>
                </c:pt>
                <c:pt idx="126">
                  <c:v>Yumar Baptist Church</c:v>
                </c:pt>
                <c:pt idx="127">
                  <c:v>Zup Aung Camp</c:v>
                </c:pt>
                <c:pt idx="128">
                  <c:v>Bum Tsit Pa * (3)</c:v>
                </c:pt>
                <c:pt idx="129">
                  <c:v>Ku Day Maw KBC</c:v>
                </c:pt>
                <c:pt idx="130">
                  <c:v>Loi Je Lisu  (4) Camp</c:v>
                </c:pt>
                <c:pt idx="131">
                  <c:v>Pan Wa (Saw Zam) camp </c:v>
                </c:pt>
                <c:pt idx="132">
                  <c:v>Lung Sut</c:v>
                </c:pt>
                <c:pt idx="133">
                  <c:v>Nam Sa Larp</c:v>
                </c:pt>
                <c:pt idx="134">
                  <c:v>Sar Hmaw - KBC</c:v>
                </c:pt>
                <c:pt idx="135">
                  <c:v>Ma Hawng RC </c:v>
                </c:pt>
                <c:pt idx="136">
                  <c:v>Pan Ku</c:v>
                </c:pt>
                <c:pt idx="137">
                  <c:v>Ndup Yang 1</c:v>
                </c:pt>
                <c:pt idx="138">
                  <c:v>Ndup Yang 2</c:v>
                </c:pt>
                <c:pt idx="139">
                  <c:v>Loi Je Seng Ja Extention</c:v>
                </c:pt>
              </c:strCache>
            </c:strRef>
          </c:cat>
          <c:val>
            <c:numRef>
              <c:f>SituationAnalysis!$AB$84:$AB$224</c:f>
              <c:numCache>
                <c:formatCode>0%</c:formatCode>
                <c:ptCount val="140"/>
                <c:pt idx="0">
                  <c:v>0.26315789473684209</c:v>
                </c:pt>
                <c:pt idx="1">
                  <c:v>0.47058823529411764</c:v>
                </c:pt>
                <c:pt idx="2">
                  <c:v>0.62663185378590081</c:v>
                </c:pt>
                <c:pt idx="3">
                  <c:v>0.79081632653061229</c:v>
                </c:pt>
                <c:pt idx="4">
                  <c:v>0.85470085470085466</c:v>
                </c:pt>
                <c:pt idx="5">
                  <c:v>1</c:v>
                </c:pt>
                <c:pt idx="6">
                  <c:v>0.89600000000000002</c:v>
                </c:pt>
                <c:pt idx="7">
                  <c:v>1</c:v>
                </c:pt>
                <c:pt idx="8">
                  <c:v>0.7062600321027287</c:v>
                </c:pt>
                <c:pt idx="9">
                  <c:v>0.91743119266055051</c:v>
                </c:pt>
                <c:pt idx="10">
                  <c:v>1</c:v>
                </c:pt>
                <c:pt idx="11">
                  <c:v>1</c:v>
                </c:pt>
                <c:pt idx="12">
                  <c:v>1</c:v>
                </c:pt>
                <c:pt idx="13">
                  <c:v>1</c:v>
                </c:pt>
                <c:pt idx="14">
                  <c:v>1</c:v>
                </c:pt>
                <c:pt idx="15">
                  <c:v>0.86956521739130432</c:v>
                </c:pt>
                <c:pt idx="16">
                  <c:v>0.48681541582150101</c:v>
                </c:pt>
                <c:pt idx="17">
                  <c:v>1</c:v>
                </c:pt>
                <c:pt idx="18">
                  <c:v>0.7407407407407407</c:v>
                </c:pt>
                <c:pt idx="19">
                  <c:v>1</c:v>
                </c:pt>
                <c:pt idx="20">
                  <c:v>0.76923076923076927</c:v>
                </c:pt>
                <c:pt idx="21">
                  <c:v>1</c:v>
                </c:pt>
                <c:pt idx="22">
                  <c:v>1</c:v>
                </c:pt>
                <c:pt idx="23">
                  <c:v>1</c:v>
                </c:pt>
                <c:pt idx="24">
                  <c:v>1</c:v>
                </c:pt>
                <c:pt idx="25">
                  <c:v>1</c:v>
                </c:pt>
                <c:pt idx="26">
                  <c:v>1</c:v>
                </c:pt>
                <c:pt idx="27">
                  <c:v>1</c:v>
                </c:pt>
                <c:pt idx="28">
                  <c:v>1</c:v>
                </c:pt>
                <c:pt idx="29">
                  <c:v>0.49792531120331951</c:v>
                </c:pt>
                <c:pt idx="30">
                  <c:v>1</c:v>
                </c:pt>
                <c:pt idx="31">
                  <c:v>0.85470085470085466</c:v>
                </c:pt>
                <c:pt idx="32">
                  <c:v>0.6</c:v>
                </c:pt>
                <c:pt idx="33">
                  <c:v>1</c:v>
                </c:pt>
                <c:pt idx="34">
                  <c:v>0.70796460176991149</c:v>
                </c:pt>
                <c:pt idx="35">
                  <c:v>1</c:v>
                </c:pt>
                <c:pt idx="36">
                  <c:v>1</c:v>
                </c:pt>
                <c:pt idx="37">
                  <c:v>0.65573770491803274</c:v>
                </c:pt>
                <c:pt idx="38">
                  <c:v>1</c:v>
                </c:pt>
                <c:pt idx="39">
                  <c:v>0.82901554404145072</c:v>
                </c:pt>
                <c:pt idx="40">
                  <c:v>0.8</c:v>
                </c:pt>
                <c:pt idx="41">
                  <c:v>0</c:v>
                </c:pt>
                <c:pt idx="42">
                  <c:v>0.79656384224912147</c:v>
                </c:pt>
                <c:pt idx="43">
                  <c:v>0.88235294117647056</c:v>
                </c:pt>
                <c:pt idx="44">
                  <c:v>0.6097560975609756</c:v>
                </c:pt>
                <c:pt idx="45">
                  <c:v>1</c:v>
                </c:pt>
                <c:pt idx="46">
                  <c:v>0.89368258859784289</c:v>
                </c:pt>
                <c:pt idx="47">
                  <c:v>1</c:v>
                </c:pt>
                <c:pt idx="48">
                  <c:v>1</c:v>
                </c:pt>
                <c:pt idx="49">
                  <c:v>0.8</c:v>
                </c:pt>
                <c:pt idx="50">
                  <c:v>1</c:v>
                </c:pt>
                <c:pt idx="51">
                  <c:v>0.55172413793103448</c:v>
                </c:pt>
                <c:pt idx="52">
                  <c:v>1</c:v>
                </c:pt>
                <c:pt idx="53">
                  <c:v>1</c:v>
                </c:pt>
                <c:pt idx="54">
                  <c:v>1</c:v>
                </c:pt>
                <c:pt idx="55">
                  <c:v>1</c:v>
                </c:pt>
                <c:pt idx="56">
                  <c:v>1</c:v>
                </c:pt>
                <c:pt idx="57">
                  <c:v>1</c:v>
                </c:pt>
                <c:pt idx="58">
                  <c:v>0.81300813008130079</c:v>
                </c:pt>
                <c:pt idx="59">
                  <c:v>0.2593192868719611</c:v>
                </c:pt>
                <c:pt idx="60">
                  <c:v>1</c:v>
                </c:pt>
                <c:pt idx="61">
                  <c:v>1</c:v>
                </c:pt>
                <c:pt idx="62">
                  <c:v>1</c:v>
                </c:pt>
                <c:pt idx="63">
                  <c:v>1</c:v>
                </c:pt>
                <c:pt idx="64">
                  <c:v>0.75471698113207553</c:v>
                </c:pt>
                <c:pt idx="65">
                  <c:v>1</c:v>
                </c:pt>
                <c:pt idx="66">
                  <c:v>0.88888888888888884</c:v>
                </c:pt>
                <c:pt idx="67">
                  <c:v>1</c:v>
                </c:pt>
                <c:pt idx="68">
                  <c:v>0.4580152671755725</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0.88888888888888884</c:v>
                </c:pt>
                <c:pt idx="85">
                  <c:v>0.57866184448462932</c:v>
                </c:pt>
                <c:pt idx="86">
                  <c:v>0.98445595854922274</c:v>
                </c:pt>
                <c:pt idx="87">
                  <c:v>0.54644808743169404</c:v>
                </c:pt>
                <c:pt idx="88">
                  <c:v>1</c:v>
                </c:pt>
                <c:pt idx="89">
                  <c:v>1</c:v>
                </c:pt>
                <c:pt idx="90">
                  <c:v>1</c:v>
                </c:pt>
                <c:pt idx="91">
                  <c:v>1</c:v>
                </c:pt>
                <c:pt idx="92">
                  <c:v>1</c:v>
                </c:pt>
                <c:pt idx="93">
                  <c:v>1</c:v>
                </c:pt>
                <c:pt idx="94">
                  <c:v>0.73529411764705888</c:v>
                </c:pt>
                <c:pt idx="95">
                  <c:v>1</c:v>
                </c:pt>
                <c:pt idx="96">
                  <c:v>1</c:v>
                </c:pt>
                <c:pt idx="97">
                  <c:v>1</c:v>
                </c:pt>
                <c:pt idx="98">
                  <c:v>1</c:v>
                </c:pt>
                <c:pt idx="99">
                  <c:v>1</c:v>
                </c:pt>
                <c:pt idx="100">
                  <c:v>0.898876404494382</c:v>
                </c:pt>
                <c:pt idx="101">
                  <c:v>0.72398190045248867</c:v>
                </c:pt>
                <c:pt idx="102">
                  <c:v>1</c:v>
                </c:pt>
                <c:pt idx="103">
                  <c:v>1</c:v>
                </c:pt>
                <c:pt idx="104">
                  <c:v>1</c:v>
                </c:pt>
                <c:pt idx="105">
                  <c:v>1</c:v>
                </c:pt>
                <c:pt idx="106">
                  <c:v>0.99071207430340558</c:v>
                </c:pt>
                <c:pt idx="107">
                  <c:v>1</c:v>
                </c:pt>
                <c:pt idx="108">
                  <c:v>1</c:v>
                </c:pt>
                <c:pt idx="109">
                  <c:v>0.81491344873501992</c:v>
                </c:pt>
                <c:pt idx="110">
                  <c:v>1</c:v>
                </c:pt>
                <c:pt idx="111">
                  <c:v>0.75376884422110557</c:v>
                </c:pt>
                <c:pt idx="112">
                  <c:v>1</c:v>
                </c:pt>
                <c:pt idx="113">
                  <c:v>0.98039215686274506</c:v>
                </c:pt>
                <c:pt idx="114">
                  <c:v>1</c:v>
                </c:pt>
                <c:pt idx="115">
                  <c:v>0.76555023923444976</c:v>
                </c:pt>
                <c:pt idx="116">
                  <c:v>1</c:v>
                </c:pt>
                <c:pt idx="117">
                  <c:v>1</c:v>
                </c:pt>
                <c:pt idx="118">
                  <c:v>0.95522388059701491</c:v>
                </c:pt>
                <c:pt idx="119">
                  <c:v>0.69620253164556967</c:v>
                </c:pt>
                <c:pt idx="120">
                  <c:v>1</c:v>
                </c:pt>
                <c:pt idx="121">
                  <c:v>0.92715231788079466</c:v>
                </c:pt>
                <c:pt idx="122">
                  <c:v>0.898876404494382</c:v>
                </c:pt>
                <c:pt idx="123">
                  <c:v>0.84210526315789469</c:v>
                </c:pt>
                <c:pt idx="124">
                  <c:v>1</c:v>
                </c:pt>
                <c:pt idx="125">
                  <c:v>1</c:v>
                </c:pt>
                <c:pt idx="126">
                  <c:v>0.50632911392405067</c:v>
                </c:pt>
                <c:pt idx="127">
                  <c:v>1</c:v>
                </c:pt>
                <c:pt idx="128">
                  <c:v>1</c:v>
                </c:pt>
                <c:pt idx="129">
                  <c:v>0.34334763948497854</c:v>
                </c:pt>
                <c:pt idx="130">
                  <c:v>0.80645161290322576</c:v>
                </c:pt>
                <c:pt idx="131">
                  <c:v>0.48484848484848486</c:v>
                </c:pt>
                <c:pt idx="132">
                  <c:v>1</c:v>
                </c:pt>
                <c:pt idx="133">
                  <c:v>0.82949308755760365</c:v>
                </c:pt>
                <c:pt idx="134">
                  <c:v>1</c:v>
                </c:pt>
                <c:pt idx="135">
                  <c:v>1</c:v>
                </c:pt>
                <c:pt idx="136">
                  <c:v>1</c:v>
                </c:pt>
                <c:pt idx="137">
                  <c:v>0.39381153305203936</c:v>
                </c:pt>
                <c:pt idx="138">
                  <c:v>0.20449897750511248</c:v>
                </c:pt>
                <c:pt idx="139">
                  <c:v>0.37209302325581395</c:v>
                </c:pt>
              </c:numCache>
            </c:numRef>
          </c:val>
        </c:ser>
        <c:ser>
          <c:idx val="2"/>
          <c:order val="2"/>
          <c:tx>
            <c:strRef>
              <c:f>SituationAnalysis!$AC$83</c:f>
              <c:strCache>
                <c:ptCount val="1"/>
                <c:pt idx="0">
                  <c:v>% Bathroom need coverage</c:v>
                </c:pt>
              </c:strCache>
            </c:strRef>
          </c:tx>
          <c:spPr>
            <a:solidFill>
              <a:schemeClr val="accent3"/>
            </a:solidFill>
            <a:ln>
              <a:noFill/>
            </a:ln>
            <a:effectLst/>
          </c:spPr>
          <c:invertIfNegative val="0"/>
          <c:cat>
            <c:strRef>
              <c:f>SituationAnalysis!$Z$84:$Z$224</c:f>
              <c:strCache>
                <c:ptCount val="140"/>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Border Post 8</c:v>
                </c:pt>
                <c:pt idx="12">
                  <c:v>Bum Tsit Pa * (1)</c:v>
                </c:pt>
                <c:pt idx="13">
                  <c:v>Bum Tsit Pa * (2)</c:v>
                </c:pt>
                <c:pt idx="14">
                  <c:v>Chin Church, Seik Mu</c:v>
                </c:pt>
                <c:pt idx="15">
                  <c:v>Chipwi KBC camp</c:v>
                </c:pt>
                <c:pt idx="16">
                  <c:v>Clutural Compound</c:v>
                </c:pt>
                <c:pt idx="17">
                  <c:v>Dhama Rakhita, Nyein Chan Tar Yar Ward(Lon Khin)</c:v>
                </c:pt>
                <c:pt idx="18">
                  <c:v>Du Kahtawng Qtr. 14</c:v>
                </c:pt>
                <c:pt idx="19">
                  <c:v>Du Kahtawng Qtr. 4</c:v>
                </c:pt>
                <c:pt idx="20">
                  <c:v>Du Kahtawng Qtr. 5</c:v>
                </c:pt>
                <c:pt idx="21">
                  <c:v>Dum Bung </c:v>
                </c:pt>
                <c:pt idx="22">
                  <c:v>Hkat Cho </c:v>
                </c:pt>
                <c:pt idx="23">
                  <c:v>Hkau Shau (BP 12)</c:v>
                </c:pt>
                <c:pt idx="24">
                  <c:v>Hlaing Naung Baptist</c:v>
                </c:pt>
                <c:pt idx="25">
                  <c:v>Hmaw Wan, Anglican</c:v>
                </c:pt>
                <c:pt idx="26">
                  <c:v>Hpakant Baptist Church, Nam Ma Hpit</c:v>
                </c:pt>
                <c:pt idx="27">
                  <c:v>Hpare Hkyer - BP6</c:v>
                </c:pt>
                <c:pt idx="28">
                  <c:v>Hpun Lum Yang </c:v>
                </c:pt>
                <c:pt idx="29">
                  <c:v>Htoi San Church*</c:v>
                </c:pt>
                <c:pt idx="30">
                  <c:v>Jan Mai Kawng Baptist Church</c:v>
                </c:pt>
                <c:pt idx="31">
                  <c:v>Jan Mai Kawng Catholic Church</c:v>
                </c:pt>
                <c:pt idx="32">
                  <c:v>Jaw 2</c:v>
                </c:pt>
                <c:pt idx="33">
                  <c:v>Je Yang Hka </c:v>
                </c:pt>
                <c:pt idx="34">
                  <c:v>Kachin Su Baptist Church (ECCD)</c:v>
                </c:pt>
                <c:pt idx="35">
                  <c:v>Khar Nan (1) Baptist Church</c:v>
                </c:pt>
                <c:pt idx="36">
                  <c:v>Kone Khem Camp</c:v>
                </c:pt>
                <c:pt idx="37">
                  <c:v>Kutkai downtown (KBC Church)</c:v>
                </c:pt>
                <c:pt idx="38">
                  <c:v>Kutkai downtown (RC Church)</c:v>
                </c:pt>
                <c:pt idx="39">
                  <c:v>Kyun Pin Thar Baptist Church</c:v>
                </c:pt>
                <c:pt idx="40">
                  <c:v>Kyun Taw Baptist Church </c:v>
                </c:pt>
                <c:pt idx="41">
                  <c:v>La Ja</c:v>
                </c:pt>
                <c:pt idx="42">
                  <c:v>Lana Zup Ja *</c:v>
                </c:pt>
                <c:pt idx="43">
                  <c:v>Lawk Awng Mare D. (Sinbo Area)</c:v>
                </c:pt>
                <c:pt idx="44">
                  <c:v>Le Kone Bethlehem Church</c:v>
                </c:pt>
                <c:pt idx="45">
                  <c:v>Le Kone Ziun Baptist Church </c:v>
                </c:pt>
                <c:pt idx="46">
                  <c:v>Lhaovao Baptist Church (LBC)</c:v>
                </c:pt>
                <c:pt idx="47">
                  <c:v>Lisu Baptist Church, Maw Shan Vil,. Seik Mu</c:v>
                </c:pt>
                <c:pt idx="48">
                  <c:v>Lisu Baptist Church, Maw Wan Ward</c:v>
                </c:pt>
                <c:pt idx="49">
                  <c:v>Lisu Boarding-House</c:v>
                </c:pt>
                <c:pt idx="50">
                  <c:v>Loi Je Catholic Church</c:v>
                </c:pt>
                <c:pt idx="51">
                  <c:v>Loi Je Lisu  (1) Camp</c:v>
                </c:pt>
                <c:pt idx="52">
                  <c:v>Loi Je Lisu  (2) Camp</c:v>
                </c:pt>
                <c:pt idx="53">
                  <c:v>Loi Je Lisu  (3) Camp</c:v>
                </c:pt>
                <c:pt idx="54">
                  <c:v>Loi Je Nyaung Na Pin </c:v>
                </c:pt>
                <c:pt idx="55">
                  <c:v>Loi Je Seng Ja </c:v>
                </c:pt>
                <c:pt idx="56">
                  <c:v>Mading Baptist Church</c:v>
                </c:pt>
                <c:pt idx="57">
                  <c:v>Maga Yang </c:v>
                </c:pt>
                <c:pt idx="58">
                  <c:v>Maina AG Church</c:v>
                </c:pt>
                <c:pt idx="59">
                  <c:v>Maina Catholic Church (St. Joseph)</c:v>
                </c:pt>
                <c:pt idx="60">
                  <c:v>Maina KBC (Bawng Ring)</c:v>
                </c:pt>
                <c:pt idx="61">
                  <c:v>Maina Lawang Baptist Church</c:v>
                </c:pt>
                <c:pt idx="62">
                  <c:v>Maing Khaung Baptist Church</c:v>
                </c:pt>
                <c:pt idx="63">
                  <c:v>Maing Khaung Catholic Church</c:v>
                </c:pt>
                <c:pt idx="64">
                  <c:v>Maliyang Baptist Church</c:v>
                </c:pt>
                <c:pt idx="65">
                  <c:v>Man Bung Catholic compound</c:v>
                </c:pt>
                <c:pt idx="66">
                  <c:v>Man Bung Edin Baptist Church</c:v>
                </c:pt>
                <c:pt idx="67">
                  <c:v>Man Hkring Baptist Church</c:v>
                </c:pt>
                <c:pt idx="68">
                  <c:v>Man Wing Baptist Church*</c:v>
                </c:pt>
                <c:pt idx="69">
                  <c:v>Man Wing Catholic Church*</c:v>
                </c:pt>
                <c:pt idx="70">
                  <c:v>Mandalay Monestry</c:v>
                </c:pt>
                <c:pt idx="71">
                  <c:v>Mandung - Jinghpaw</c:v>
                </c:pt>
                <c:pt idx="72">
                  <c:v>Mandung - RC</c:v>
                </c:pt>
                <c:pt idx="73">
                  <c:v>Mang Hawng Baptist Church</c:v>
                </c:pt>
                <c:pt idx="74">
                  <c:v>Mansi Baptist Church*</c:v>
                </c:pt>
                <c:pt idx="75">
                  <c:v>Maw Hpawng Hka Nan Baptist Church</c:v>
                </c:pt>
                <c:pt idx="76">
                  <c:v>Maw Hpawng Lhaovo Baptist Church</c:v>
                </c:pt>
                <c:pt idx="77">
                  <c:v>Maw Wan, Mu-yin Baptist Church</c:v>
                </c:pt>
                <c:pt idx="78">
                  <c:v>Mine Yu Lay village</c:v>
                </c:pt>
                <c:pt idx="79">
                  <c:v>Momauk Baptist Church</c:v>
                </c:pt>
                <c:pt idx="80">
                  <c:v>Mungji Pa Dabang (Baptist Church)         </c:v>
                </c:pt>
                <c:pt idx="81">
                  <c:v>Mungji Pa Dabang (RC Church)         </c:v>
                </c:pt>
                <c:pt idx="82">
                  <c:v>Muse KBC Church</c:v>
                </c:pt>
                <c:pt idx="83">
                  <c:v>Muse RC Church</c:v>
                </c:pt>
                <c:pt idx="84">
                  <c:v>Mu-yin Baptist Church</c:v>
                </c:pt>
                <c:pt idx="85">
                  <c:v>MWG -RC2</c:v>
                </c:pt>
                <c:pt idx="86">
                  <c:v>Nam Hkam - Nay Win Ni (Palawng)</c:v>
                </c:pt>
                <c:pt idx="87">
                  <c:v>Nam Hkam (KBC Jaw Wang)</c:v>
                </c:pt>
                <c:pt idx="88">
                  <c:v>Nam Hkam Catholic Church ( St. Thomas I)</c:v>
                </c:pt>
                <c:pt idx="89">
                  <c:v>Nam Hpak Ka Mare </c:v>
                </c:pt>
                <c:pt idx="90">
                  <c:v>Nam Ma Phyit, COC</c:v>
                </c:pt>
                <c:pt idx="91">
                  <c:v>Namtu Baptist</c:v>
                </c:pt>
                <c:pt idx="92">
                  <c:v>Nan Kway St. John Catholic Church</c:v>
                </c:pt>
                <c:pt idx="93">
                  <c:v>Nant Hlaing Church</c:v>
                </c:pt>
                <c:pt idx="94">
                  <c:v>Nant Ma Hpit Catholic Church</c:v>
                </c:pt>
                <c:pt idx="95">
                  <c:v>Narte</c:v>
                </c:pt>
                <c:pt idx="96">
                  <c:v>Nat Gyi Kone Baptist Church </c:v>
                </c:pt>
                <c:pt idx="97">
                  <c:v>Nawng Hee Village</c:v>
                </c:pt>
                <c:pt idx="98">
                  <c:v>Nawng Ing (Indawgyi) Baptist Church  </c:v>
                </c:pt>
                <c:pt idx="99">
                  <c:v>Nhkawng Pa </c:v>
                </c:pt>
                <c:pt idx="100">
                  <c:v>Ni Thaw Ka Monestry</c:v>
                </c:pt>
                <c:pt idx="101">
                  <c:v>Njang Dung Baptist Church </c:v>
                </c:pt>
                <c:pt idx="102">
                  <c:v>Pa Dauk Myaing(Pa La Na)</c:v>
                </c:pt>
                <c:pt idx="103">
                  <c:v>Pa Kahtawng 1 A</c:v>
                </c:pt>
                <c:pt idx="104">
                  <c:v>Pa Kahtawng 1B</c:v>
                </c:pt>
                <c:pt idx="105">
                  <c:v>Pa Kahtawng 2</c:v>
                </c:pt>
                <c:pt idx="106">
                  <c:v>Pan Wa</c:v>
                </c:pt>
                <c:pt idx="107">
                  <c:v>Phan Khar Kone*</c:v>
                </c:pt>
                <c:pt idx="108">
                  <c:v>Rawan Baptist Church, Maw Shan Vil., Seik Mu</c:v>
                </c:pt>
                <c:pt idx="109">
                  <c:v>Robert Church*</c:v>
                </c:pt>
                <c:pt idx="110">
                  <c:v>Sai Nai Baptish Church, Maw Shan Vil., Seki Mu</c:v>
                </c:pt>
                <c:pt idx="111">
                  <c:v>Shatapru Sut Ngai Tawng</c:v>
                </c:pt>
                <c:pt idx="112">
                  <c:v>Shatapru Thida Aye Baptist Church</c:v>
                </c:pt>
                <c:pt idx="113">
                  <c:v>Shwe Gu Baptist Church</c:v>
                </c:pt>
                <c:pt idx="114">
                  <c:v>Shwe Gu Catholic Church</c:v>
                </c:pt>
                <c:pt idx="115">
                  <c:v>Shwe Zet Baptist Church</c:v>
                </c:pt>
                <c:pt idx="116">
                  <c:v>St. Patrick Catholic Church </c:v>
                </c:pt>
                <c:pt idx="117">
                  <c:v>Ta Gun Taing Monastery (Shwe Kyi Na)</c:v>
                </c:pt>
                <c:pt idx="118">
                  <c:v>Tat Kone (Ra Da Kawng)</c:v>
                </c:pt>
                <c:pt idx="119">
                  <c:v>Tat Kone Baptist Church</c:v>
                </c:pt>
                <c:pt idx="120">
                  <c:v>Tat Kone Emanuel Church</c:v>
                </c:pt>
                <c:pt idx="121">
                  <c:v>Tat Kone Galile Baptist Church</c:v>
                </c:pt>
                <c:pt idx="122">
                  <c:v>Tat Kone San Pya Baptist Church</c:v>
                </c:pt>
                <c:pt idx="123">
                  <c:v>Ward 2 Sai Taung Baptist Church, Seik Mu </c:v>
                </c:pt>
                <c:pt idx="124">
                  <c:v>Wun Tho Buddhist Monastery</c:v>
                </c:pt>
                <c:pt idx="125">
                  <c:v>Yoe Kyi Monastery</c:v>
                </c:pt>
                <c:pt idx="126">
                  <c:v>Yumar Baptist Church</c:v>
                </c:pt>
                <c:pt idx="127">
                  <c:v>Zup Aung Camp</c:v>
                </c:pt>
                <c:pt idx="128">
                  <c:v>Bum Tsit Pa * (3)</c:v>
                </c:pt>
                <c:pt idx="129">
                  <c:v>Ku Day Maw KBC</c:v>
                </c:pt>
                <c:pt idx="130">
                  <c:v>Loi Je Lisu  (4) Camp</c:v>
                </c:pt>
                <c:pt idx="131">
                  <c:v>Pan Wa (Saw Zam) camp </c:v>
                </c:pt>
                <c:pt idx="132">
                  <c:v>Lung Sut</c:v>
                </c:pt>
                <c:pt idx="133">
                  <c:v>Nam Sa Larp</c:v>
                </c:pt>
                <c:pt idx="134">
                  <c:v>Sar Hmaw - KBC</c:v>
                </c:pt>
                <c:pt idx="135">
                  <c:v>Ma Hawng RC </c:v>
                </c:pt>
                <c:pt idx="136">
                  <c:v>Pan Ku</c:v>
                </c:pt>
                <c:pt idx="137">
                  <c:v>Ndup Yang 1</c:v>
                </c:pt>
                <c:pt idx="138">
                  <c:v>Ndup Yang 2</c:v>
                </c:pt>
                <c:pt idx="139">
                  <c:v>Loi Je Seng Ja Extention</c:v>
                </c:pt>
              </c:strCache>
            </c:strRef>
          </c:cat>
          <c:val>
            <c:numRef>
              <c:f>SituationAnalysis!$AC$84:$AC$224</c:f>
              <c:numCache>
                <c:formatCode>0%</c:formatCode>
                <c:ptCount val="140"/>
                <c:pt idx="0">
                  <c:v>0.26315789473684209</c:v>
                </c:pt>
                <c:pt idx="1">
                  <c:v>0.47058823529411764</c:v>
                </c:pt>
                <c:pt idx="2">
                  <c:v>0.52219321148825071</c:v>
                </c:pt>
                <c:pt idx="3">
                  <c:v>0.38265306122448978</c:v>
                </c:pt>
                <c:pt idx="4">
                  <c:v>0.28490028490028491</c:v>
                </c:pt>
                <c:pt idx="5">
                  <c:v>1</c:v>
                </c:pt>
                <c:pt idx="6">
                  <c:v>1</c:v>
                </c:pt>
                <c:pt idx="7">
                  <c:v>0</c:v>
                </c:pt>
                <c:pt idx="8">
                  <c:v>0.96308186195826651</c:v>
                </c:pt>
                <c:pt idx="9">
                  <c:v>1</c:v>
                </c:pt>
                <c:pt idx="10">
                  <c:v>1</c:v>
                </c:pt>
                <c:pt idx="11">
                  <c:v>0.15503875968992248</c:v>
                </c:pt>
                <c:pt idx="12">
                  <c:v>0.53908355795148244</c:v>
                </c:pt>
                <c:pt idx="13">
                  <c:v>0.34168564920273348</c:v>
                </c:pt>
                <c:pt idx="14">
                  <c:v>1</c:v>
                </c:pt>
                <c:pt idx="15">
                  <c:v>0.90579710144927539</c:v>
                </c:pt>
                <c:pt idx="16">
                  <c:v>0.40567951318458417</c:v>
                </c:pt>
                <c:pt idx="17">
                  <c:v>0.85227272727272729</c:v>
                </c:pt>
                <c:pt idx="18">
                  <c:v>1</c:v>
                </c:pt>
                <c:pt idx="19">
                  <c:v>1</c:v>
                </c:pt>
                <c:pt idx="20">
                  <c:v>1</c:v>
                </c:pt>
                <c:pt idx="21">
                  <c:v>0.64516129032258063</c:v>
                </c:pt>
                <c:pt idx="22">
                  <c:v>0.78895463510848129</c:v>
                </c:pt>
                <c:pt idx="23">
                  <c:v>0.24752475247524752</c:v>
                </c:pt>
                <c:pt idx="24">
                  <c:v>1</c:v>
                </c:pt>
                <c:pt idx="25">
                  <c:v>1</c:v>
                </c:pt>
                <c:pt idx="26">
                  <c:v>1</c:v>
                </c:pt>
                <c:pt idx="27">
                  <c:v>0.48780487804878048</c:v>
                </c:pt>
                <c:pt idx="28">
                  <c:v>0.68965517241379315</c:v>
                </c:pt>
                <c:pt idx="29">
                  <c:v>0.82987551867219922</c:v>
                </c:pt>
                <c:pt idx="30">
                  <c:v>0.43149946062567424</c:v>
                </c:pt>
                <c:pt idx="31">
                  <c:v>0.21367521367521367</c:v>
                </c:pt>
                <c:pt idx="32">
                  <c:v>1</c:v>
                </c:pt>
                <c:pt idx="33">
                  <c:v>0.63678043810494145</c:v>
                </c:pt>
                <c:pt idx="34">
                  <c:v>1</c:v>
                </c:pt>
                <c:pt idx="35">
                  <c:v>1</c:v>
                </c:pt>
                <c:pt idx="36">
                  <c:v>0.21413276231263384</c:v>
                </c:pt>
                <c:pt idx="37">
                  <c:v>0.65573770491803274</c:v>
                </c:pt>
                <c:pt idx="38">
                  <c:v>1</c:v>
                </c:pt>
                <c:pt idx="39">
                  <c:v>1</c:v>
                </c:pt>
                <c:pt idx="40">
                  <c:v>1</c:v>
                </c:pt>
                <c:pt idx="41">
                  <c:v>0</c:v>
                </c:pt>
                <c:pt idx="42">
                  <c:v>0.11714174150722374</c:v>
                </c:pt>
                <c:pt idx="43">
                  <c:v>0</c:v>
                </c:pt>
                <c:pt idx="44">
                  <c:v>0.3048780487804878</c:v>
                </c:pt>
                <c:pt idx="45">
                  <c:v>0.64935064935064934</c:v>
                </c:pt>
                <c:pt idx="46">
                  <c:v>1</c:v>
                </c:pt>
                <c:pt idx="47">
                  <c:v>0.85470085470085466</c:v>
                </c:pt>
                <c:pt idx="48">
                  <c:v>1</c:v>
                </c:pt>
                <c:pt idx="49">
                  <c:v>0.8</c:v>
                </c:pt>
                <c:pt idx="50">
                  <c:v>0.76628352490421459</c:v>
                </c:pt>
                <c:pt idx="51">
                  <c:v>0.22988505747126436</c:v>
                </c:pt>
                <c:pt idx="52">
                  <c:v>0.45454545454545453</c:v>
                </c:pt>
                <c:pt idx="53">
                  <c:v>0.86956521739130432</c:v>
                </c:pt>
                <c:pt idx="54">
                  <c:v>0.967741935483871</c:v>
                </c:pt>
                <c:pt idx="55">
                  <c:v>1</c:v>
                </c:pt>
                <c:pt idx="56">
                  <c:v>1</c:v>
                </c:pt>
                <c:pt idx="57">
                  <c:v>0.99274532264222981</c:v>
                </c:pt>
                <c:pt idx="58">
                  <c:v>0.81300813008130079</c:v>
                </c:pt>
                <c:pt idx="59">
                  <c:v>0.32414910858995138</c:v>
                </c:pt>
                <c:pt idx="60">
                  <c:v>0.28971511347175277</c:v>
                </c:pt>
                <c:pt idx="61">
                  <c:v>1</c:v>
                </c:pt>
                <c:pt idx="62">
                  <c:v>0.34965034965034963</c:v>
                </c:pt>
                <c:pt idx="63">
                  <c:v>0.66225165562913912</c:v>
                </c:pt>
                <c:pt idx="64">
                  <c:v>0.62893081761006286</c:v>
                </c:pt>
                <c:pt idx="65">
                  <c:v>1</c:v>
                </c:pt>
                <c:pt idx="66">
                  <c:v>0.7407407407407407</c:v>
                </c:pt>
                <c:pt idx="67">
                  <c:v>0.54347826086956519</c:v>
                </c:pt>
                <c:pt idx="68">
                  <c:v>0.38167938931297712</c:v>
                </c:pt>
                <c:pt idx="69">
                  <c:v>0.2808988764044944</c:v>
                </c:pt>
                <c:pt idx="70">
                  <c:v>1</c:v>
                </c:pt>
                <c:pt idx="71">
                  <c:v>1</c:v>
                </c:pt>
                <c:pt idx="72">
                  <c:v>1</c:v>
                </c:pt>
                <c:pt idx="73">
                  <c:v>1</c:v>
                </c:pt>
                <c:pt idx="74">
                  <c:v>1</c:v>
                </c:pt>
                <c:pt idx="75">
                  <c:v>1</c:v>
                </c:pt>
                <c:pt idx="76">
                  <c:v>1</c:v>
                </c:pt>
                <c:pt idx="77">
                  <c:v>1</c:v>
                </c:pt>
                <c:pt idx="78">
                  <c:v>1</c:v>
                </c:pt>
                <c:pt idx="79">
                  <c:v>0.98039215686274506</c:v>
                </c:pt>
                <c:pt idx="80">
                  <c:v>1</c:v>
                </c:pt>
                <c:pt idx="81">
                  <c:v>1</c:v>
                </c:pt>
                <c:pt idx="82">
                  <c:v>1</c:v>
                </c:pt>
                <c:pt idx="83">
                  <c:v>1</c:v>
                </c:pt>
                <c:pt idx="84">
                  <c:v>1</c:v>
                </c:pt>
                <c:pt idx="85">
                  <c:v>0.36166365280289331</c:v>
                </c:pt>
                <c:pt idx="86">
                  <c:v>0.51813471502590669</c:v>
                </c:pt>
                <c:pt idx="87">
                  <c:v>0.54644808743169404</c:v>
                </c:pt>
                <c:pt idx="88">
                  <c:v>0.94339622641509435</c:v>
                </c:pt>
                <c:pt idx="89">
                  <c:v>0.71942446043165464</c:v>
                </c:pt>
                <c:pt idx="90">
                  <c:v>1</c:v>
                </c:pt>
                <c:pt idx="91">
                  <c:v>1</c:v>
                </c:pt>
                <c:pt idx="92">
                  <c:v>0.97402597402597402</c:v>
                </c:pt>
                <c:pt idx="93">
                  <c:v>1</c:v>
                </c:pt>
                <c:pt idx="94">
                  <c:v>0.73529411764705888</c:v>
                </c:pt>
                <c:pt idx="95">
                  <c:v>0</c:v>
                </c:pt>
                <c:pt idx="96">
                  <c:v>1</c:v>
                </c:pt>
                <c:pt idx="97">
                  <c:v>1</c:v>
                </c:pt>
                <c:pt idx="98">
                  <c:v>1</c:v>
                </c:pt>
                <c:pt idx="99">
                  <c:v>0.42865890998162892</c:v>
                </c:pt>
                <c:pt idx="100">
                  <c:v>1</c:v>
                </c:pt>
                <c:pt idx="101">
                  <c:v>0.90497737556561086</c:v>
                </c:pt>
                <c:pt idx="102">
                  <c:v>1</c:v>
                </c:pt>
                <c:pt idx="103">
                  <c:v>0.14903129657228018</c:v>
                </c:pt>
                <c:pt idx="104">
                  <c:v>1</c:v>
                </c:pt>
                <c:pt idx="105">
                  <c:v>0.74349442379182151</c:v>
                </c:pt>
                <c:pt idx="106">
                  <c:v>0.61919504643962853</c:v>
                </c:pt>
                <c:pt idx="107">
                  <c:v>1</c:v>
                </c:pt>
                <c:pt idx="108">
                  <c:v>1</c:v>
                </c:pt>
                <c:pt idx="109">
                  <c:v>0.29294274300932088</c:v>
                </c:pt>
                <c:pt idx="110">
                  <c:v>1</c:v>
                </c:pt>
                <c:pt idx="111">
                  <c:v>0.50251256281407031</c:v>
                </c:pt>
                <c:pt idx="112">
                  <c:v>1</c:v>
                </c:pt>
                <c:pt idx="113">
                  <c:v>1</c:v>
                </c:pt>
                <c:pt idx="114">
                  <c:v>1</c:v>
                </c:pt>
                <c:pt idx="115">
                  <c:v>0.4784688995215311</c:v>
                </c:pt>
                <c:pt idx="116">
                  <c:v>1</c:v>
                </c:pt>
                <c:pt idx="117">
                  <c:v>1</c:v>
                </c:pt>
                <c:pt idx="118">
                  <c:v>1</c:v>
                </c:pt>
                <c:pt idx="119">
                  <c:v>0.63291139240506333</c:v>
                </c:pt>
                <c:pt idx="120">
                  <c:v>1</c:v>
                </c:pt>
                <c:pt idx="121">
                  <c:v>1</c:v>
                </c:pt>
                <c:pt idx="122">
                  <c:v>0.5617977528089888</c:v>
                </c:pt>
                <c:pt idx="123">
                  <c:v>1</c:v>
                </c:pt>
                <c:pt idx="124">
                  <c:v>1</c:v>
                </c:pt>
                <c:pt idx="125">
                  <c:v>1</c:v>
                </c:pt>
                <c:pt idx="126">
                  <c:v>0</c:v>
                </c:pt>
                <c:pt idx="127">
                  <c:v>0</c:v>
                </c:pt>
                <c:pt idx="128">
                  <c:v>1</c:v>
                </c:pt>
                <c:pt idx="129">
                  <c:v>0.42918454935622319</c:v>
                </c:pt>
                <c:pt idx="130">
                  <c:v>0.80645161290322576</c:v>
                </c:pt>
                <c:pt idx="131">
                  <c:v>0</c:v>
                </c:pt>
                <c:pt idx="132">
                  <c:v>0.64516129032258063</c:v>
                </c:pt>
                <c:pt idx="133">
                  <c:v>0</c:v>
                </c:pt>
                <c:pt idx="134">
                  <c:v>1</c:v>
                </c:pt>
                <c:pt idx="135">
                  <c:v>0</c:v>
                </c:pt>
                <c:pt idx="136">
                  <c:v>0</c:v>
                </c:pt>
                <c:pt idx="137">
                  <c:v>0</c:v>
                </c:pt>
                <c:pt idx="138">
                  <c:v>0</c:v>
                </c:pt>
                <c:pt idx="139">
                  <c:v>0</c:v>
                </c:pt>
              </c:numCache>
            </c:numRef>
          </c:val>
        </c:ser>
        <c:dLbls>
          <c:showLegendKey val="0"/>
          <c:showVal val="0"/>
          <c:showCatName val="0"/>
          <c:showSerName val="0"/>
          <c:showPercent val="0"/>
          <c:showBubbleSize val="0"/>
        </c:dLbls>
        <c:gapWidth val="219"/>
        <c:overlap val="-27"/>
        <c:axId val="535512968"/>
        <c:axId val="482661672"/>
      </c:barChart>
      <c:catAx>
        <c:axId val="535512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61672"/>
        <c:crosses val="autoZero"/>
        <c:auto val="1"/>
        <c:lblAlgn val="ctr"/>
        <c:lblOffset val="100"/>
        <c:noMultiLvlLbl val="0"/>
      </c:catAx>
      <c:valAx>
        <c:axId val="482661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12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2016.xlsx]SituationAnalysis!PivotTable19</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SituationAnalysis!$C$282</c:f>
              <c:strCache>
                <c:ptCount val="1"/>
                <c:pt idx="0">
                  <c:v>% Coverage Permanent Latrine</c:v>
                </c:pt>
              </c:strCache>
            </c:strRef>
          </c:tx>
          <c:spPr>
            <a:solidFill>
              <a:schemeClr val="accent1"/>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SituationAnalysis!$C$283:$C$293</c:f>
              <c:numCache>
                <c:formatCode>0%</c:formatCode>
                <c:ptCount val="10"/>
                <c:pt idx="0">
                  <c:v>0.74840144564915212</c:v>
                </c:pt>
                <c:pt idx="1">
                  <c:v>0.80971918307804525</c:v>
                </c:pt>
                <c:pt idx="2">
                  <c:v>0.86945169712793735</c:v>
                </c:pt>
                <c:pt idx="3">
                  <c:v>0.63413185507820236</c:v>
                </c:pt>
                <c:pt idx="4">
                  <c:v>0.71657473075912792</c:v>
                </c:pt>
                <c:pt idx="5">
                  <c:v>0.76419281987384158</c:v>
                </c:pt>
                <c:pt idx="6">
                  <c:v>0.54812286689419798</c:v>
                </c:pt>
                <c:pt idx="7">
                  <c:v>0.20861268695203714</c:v>
                </c:pt>
                <c:pt idx="8">
                  <c:v>0.32963988919667592</c:v>
                </c:pt>
                <c:pt idx="9">
                  <c:v>0.40634291377601583</c:v>
                </c:pt>
              </c:numCache>
            </c:numRef>
          </c:val>
        </c:ser>
        <c:ser>
          <c:idx val="1"/>
          <c:order val="1"/>
          <c:tx>
            <c:strRef>
              <c:f>SituationAnalysis!$D$282</c:f>
              <c:strCache>
                <c:ptCount val="1"/>
                <c:pt idx="0">
                  <c:v>%  Coverage Emergency latrine</c:v>
                </c:pt>
              </c:strCache>
            </c:strRef>
          </c:tx>
          <c:spPr>
            <a:solidFill>
              <a:schemeClr val="accent2"/>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SituationAnalysis!$D$283:$D$293</c:f>
              <c:numCache>
                <c:formatCode>0%</c:formatCode>
                <c:ptCount val="10"/>
                <c:pt idx="0">
                  <c:v>1.0286349735891022E-2</c:v>
                </c:pt>
                <c:pt idx="1">
                  <c:v>2.899343544857768E-2</c:v>
                </c:pt>
                <c:pt idx="2">
                  <c:v>0.10443864229765012</c:v>
                </c:pt>
                <c:pt idx="3">
                  <c:v>0.22490595921599682</c:v>
                </c:pt>
                <c:pt idx="4">
                  <c:v>0.28342526924087208</c:v>
                </c:pt>
                <c:pt idx="5">
                  <c:v>0.16579705630402616</c:v>
                </c:pt>
                <c:pt idx="6">
                  <c:v>0.2462457337883959</c:v>
                </c:pt>
                <c:pt idx="7">
                  <c:v>0.75477050025786485</c:v>
                </c:pt>
                <c:pt idx="8">
                  <c:v>0.67036011080332414</c:v>
                </c:pt>
                <c:pt idx="9">
                  <c:v>0.32953419226957381</c:v>
                </c:pt>
              </c:numCache>
            </c:numRef>
          </c:val>
        </c:ser>
        <c:dLbls>
          <c:showLegendKey val="0"/>
          <c:showVal val="0"/>
          <c:showCatName val="0"/>
          <c:showSerName val="0"/>
          <c:showPercent val="0"/>
          <c:showBubbleSize val="0"/>
        </c:dLbls>
        <c:gapWidth val="150"/>
        <c:shape val="box"/>
        <c:axId val="482662456"/>
        <c:axId val="482662848"/>
        <c:axId val="0"/>
      </c:bar3DChart>
      <c:catAx>
        <c:axId val="4826624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62848"/>
        <c:crosses val="autoZero"/>
        <c:auto val="1"/>
        <c:lblAlgn val="ctr"/>
        <c:lblOffset val="100"/>
        <c:noMultiLvlLbl val="0"/>
      </c:catAx>
      <c:valAx>
        <c:axId val="482662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6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2016.xlsx]SituationAnalysis!PivotTable15</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latrine missing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SituationAnalysis!$C$194:$C$195</c:f>
              <c:strCache>
                <c:ptCount val="1"/>
                <c:pt idx="0">
                  <c:v>GCA</c:v>
                </c:pt>
              </c:strCache>
            </c:strRef>
          </c:tx>
          <c:spPr>
            <a:solidFill>
              <a:schemeClr val="accent1"/>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SituationAnalysis!$C$196:$C$215</c:f>
              <c:numCache>
                <c:formatCode>0</c:formatCode>
                <c:ptCount val="19"/>
                <c:pt idx="0">
                  <c:v>177.3</c:v>
                </c:pt>
                <c:pt idx="1">
                  <c:v>29.700000000000003</c:v>
                </c:pt>
                <c:pt idx="2">
                  <c:v>45.250000000000007</c:v>
                </c:pt>
                <c:pt idx="3">
                  <c:v>0.85</c:v>
                </c:pt>
                <c:pt idx="4">
                  <c:v>221.90000000000003</c:v>
                </c:pt>
                <c:pt idx="5">
                  <c:v>227.30000000000004</c:v>
                </c:pt>
                <c:pt idx="6">
                  <c:v>16.100000000000001</c:v>
                </c:pt>
                <c:pt idx="7">
                  <c:v>6.65</c:v>
                </c:pt>
                <c:pt idx="8">
                  <c:v>4.6500000000000004</c:v>
                </c:pt>
                <c:pt idx="9">
                  <c:v>150.15000000000003</c:v>
                </c:pt>
                <c:pt idx="10">
                  <c:v>8.35</c:v>
                </c:pt>
                <c:pt idx="11">
                  <c:v>47.4</c:v>
                </c:pt>
                <c:pt idx="12">
                  <c:v>63.75</c:v>
                </c:pt>
                <c:pt idx="13">
                  <c:v>0.95</c:v>
                </c:pt>
                <c:pt idx="14">
                  <c:v>5.8000000000000007</c:v>
                </c:pt>
                <c:pt idx="15">
                  <c:v>12.200000000000001</c:v>
                </c:pt>
                <c:pt idx="16">
                  <c:v>43</c:v>
                </c:pt>
                <c:pt idx="17">
                  <c:v>56.95</c:v>
                </c:pt>
                <c:pt idx="18">
                  <c:v>17.2</c:v>
                </c:pt>
              </c:numCache>
            </c:numRef>
          </c:val>
        </c:ser>
        <c:ser>
          <c:idx val="1"/>
          <c:order val="1"/>
          <c:tx>
            <c:strRef>
              <c:f>SituationAnalysis!$D$194:$D$195</c:f>
              <c:strCache>
                <c:ptCount val="1"/>
                <c:pt idx="0">
                  <c:v>NGCA</c:v>
                </c:pt>
              </c:strCache>
            </c:strRef>
          </c:tx>
          <c:spPr>
            <a:solidFill>
              <a:schemeClr val="accent2"/>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Sumprabum</c:v>
                </c:pt>
                <c:pt idx="17">
                  <c:v>Waingmaw</c:v>
                </c:pt>
                <c:pt idx="18">
                  <c:v>Hseni</c:v>
                </c:pt>
              </c:strCache>
            </c:strRef>
          </c:cat>
          <c:val>
            <c:numRef>
              <c:f>SituationAnalysis!$D$196:$D$215</c:f>
              <c:numCache>
                <c:formatCode>0</c:formatCode>
                <c:ptCount val="19"/>
                <c:pt idx="1">
                  <c:v>41</c:v>
                </c:pt>
                <c:pt idx="5">
                  <c:v>83.050000000000011</c:v>
                </c:pt>
                <c:pt idx="9">
                  <c:v>81.8</c:v>
                </c:pt>
                <c:pt idx="10">
                  <c:v>42.3</c:v>
                </c:pt>
                <c:pt idx="13">
                  <c:v>22.3</c:v>
                </c:pt>
                <c:pt idx="15">
                  <c:v>0.39999999999999991</c:v>
                </c:pt>
                <c:pt idx="17">
                  <c:v>235.54999999999998</c:v>
                </c:pt>
              </c:numCache>
            </c:numRef>
          </c:val>
        </c:ser>
        <c:dLbls>
          <c:showLegendKey val="0"/>
          <c:showVal val="0"/>
          <c:showCatName val="0"/>
          <c:showSerName val="0"/>
          <c:showPercent val="0"/>
          <c:showBubbleSize val="0"/>
        </c:dLbls>
        <c:gapWidth val="150"/>
        <c:shape val="box"/>
        <c:axId val="632555352"/>
        <c:axId val="632555744"/>
        <c:axId val="0"/>
      </c:bar3DChart>
      <c:catAx>
        <c:axId val="632555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555744"/>
        <c:crosses val="autoZero"/>
        <c:auto val="1"/>
        <c:lblAlgn val="ctr"/>
        <c:lblOffset val="100"/>
        <c:noMultiLvlLbl val="0"/>
      </c:catAx>
      <c:valAx>
        <c:axId val="63255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55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2016.xlsx]SituationAnalysis!PivotTable32</c:name>
    <c:fmtId val="35"/>
  </c:pivotSource>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solidFill>
                  <a:sysClr val="windowText" lastClr="000000"/>
                </a:solidFill>
              </a:rPr>
              <a:t>Project</a:t>
            </a:r>
            <a:r>
              <a:rPr lang="en-US" sz="1600" baseline="0">
                <a:solidFill>
                  <a:sysClr val="windowText" lastClr="000000"/>
                </a:solidFill>
              </a:rPr>
              <a:t> Gap Areas</a:t>
            </a:r>
          </a:p>
        </c:rich>
      </c:tx>
      <c:layout>
        <c:manualLayout>
          <c:xMode val="edge"/>
          <c:yMode val="edge"/>
          <c:x val="0.35950712211420871"/>
          <c:y val="6.449445068417439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2">
              <a:lumMod val="75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ndard"/>
        <c:varyColors val="0"/>
        <c:ser>
          <c:idx val="0"/>
          <c:order val="0"/>
          <c:tx>
            <c:strRef>
              <c:f>SituationAnalysis!$C$688</c:f>
              <c:strCache>
                <c:ptCount val="1"/>
                <c:pt idx="0">
                  <c:v>Total</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SituationAnalysis!$B$689:$B$709</c:f>
              <c:multiLvlStrCache>
                <c:ptCount val="17"/>
                <c:lvl>
                  <c:pt idx="0">
                    <c:v>None</c:v>
                  </c:pt>
                  <c:pt idx="1">
                    <c:v>None</c:v>
                  </c:pt>
                  <c:pt idx="4">
                    <c:v>None</c:v>
                  </c:pt>
                  <c:pt idx="7">
                    <c:v>None</c:v>
                  </c:pt>
                  <c:pt idx="8">
                    <c:v>None</c:v>
                  </c:pt>
                  <c:pt idx="9">
                    <c:v>None</c:v>
                  </c:pt>
                  <c:pt idx="10">
                    <c:v>None</c:v>
                  </c:pt>
                  <c:pt idx="11">
                    <c:v>None</c:v>
                  </c:pt>
                  <c:pt idx="12">
                    <c:v>None</c:v>
                  </c:pt>
                  <c:pt idx="14">
                    <c:v>None</c:v>
                  </c:pt>
                  <c:pt idx="15">
                    <c:v>None</c:v>
                  </c:pt>
                  <c:pt idx="16">
                    <c:v>None</c:v>
                  </c:pt>
                </c:lvl>
                <c:lvl>
                  <c:pt idx="0">
                    <c:v>Bhamo</c:v>
                  </c:pt>
                  <c:pt idx="1">
                    <c:v>Chipwi</c:v>
                  </c:pt>
                  <c:pt idx="2">
                    <c:v>Hpakan</c:v>
                  </c:pt>
                  <c:pt idx="3">
                    <c:v>Khaunglanhpu</c:v>
                  </c:pt>
                  <c:pt idx="4">
                    <c:v>Mansi</c:v>
                  </c:pt>
                  <c:pt idx="5">
                    <c:v>Manton</c:v>
                  </c:pt>
                  <c:pt idx="6">
                    <c:v>Mogaung</c:v>
                  </c:pt>
                  <c:pt idx="7">
                    <c:v>Mohnyin</c:v>
                  </c:pt>
                  <c:pt idx="8">
                    <c:v>Momauk</c:v>
                  </c:pt>
                  <c:pt idx="9">
                    <c:v>Muse</c:v>
                  </c:pt>
                  <c:pt idx="10">
                    <c:v>Myitkyina</c:v>
                  </c:pt>
                  <c:pt idx="11">
                    <c:v>Namkham</c:v>
                  </c:pt>
                  <c:pt idx="12">
                    <c:v>Namtu</c:v>
                  </c:pt>
                  <c:pt idx="13">
                    <c:v>Puta-O</c:v>
                  </c:pt>
                  <c:pt idx="14">
                    <c:v>Shwegu</c:v>
                  </c:pt>
                  <c:pt idx="15">
                    <c:v>Waingmaw</c:v>
                  </c:pt>
                  <c:pt idx="16">
                    <c:v>Sumprabum</c:v>
                  </c:pt>
                </c:lvl>
                <c:lvl>
                  <c:pt idx="0">
                    <c:v>Gap</c:v>
                  </c:pt>
                </c:lvl>
              </c:multiLvlStrCache>
            </c:multiLvlStrRef>
          </c:cat>
          <c:val>
            <c:numRef>
              <c:f>SituationAnalysis!$C$689:$C$709</c:f>
              <c:numCache>
                <c:formatCode>General</c:formatCode>
                <c:ptCount val="17"/>
                <c:pt idx="0">
                  <c:v>1</c:v>
                </c:pt>
                <c:pt idx="1">
                  <c:v>4</c:v>
                </c:pt>
                <c:pt idx="2">
                  <c:v>2</c:v>
                </c:pt>
                <c:pt idx="3">
                  <c:v>1</c:v>
                </c:pt>
                <c:pt idx="4">
                  <c:v>4</c:v>
                </c:pt>
                <c:pt idx="5">
                  <c:v>1</c:v>
                </c:pt>
                <c:pt idx="6">
                  <c:v>6</c:v>
                </c:pt>
                <c:pt idx="7">
                  <c:v>4</c:v>
                </c:pt>
                <c:pt idx="8">
                  <c:v>8</c:v>
                </c:pt>
                <c:pt idx="9">
                  <c:v>4</c:v>
                </c:pt>
                <c:pt idx="10">
                  <c:v>24</c:v>
                </c:pt>
                <c:pt idx="11">
                  <c:v>1</c:v>
                </c:pt>
                <c:pt idx="12">
                  <c:v>#N/A</c:v>
                </c:pt>
                <c:pt idx="14">
                  <c:v>1</c:v>
                </c:pt>
                <c:pt idx="15">
                  <c:v>9</c:v>
                </c:pt>
                <c:pt idx="16">
                  <c:v>33</c:v>
                </c:pt>
              </c:numCache>
            </c:numRef>
          </c:val>
        </c:ser>
        <c:dLbls>
          <c:showLegendKey val="0"/>
          <c:showVal val="0"/>
          <c:showCatName val="0"/>
          <c:showSerName val="0"/>
          <c:showPercent val="0"/>
          <c:showBubbleSize val="0"/>
        </c:dLbls>
        <c:gapWidth val="150"/>
        <c:shape val="box"/>
        <c:axId val="632556528"/>
        <c:axId val="632556920"/>
        <c:axId val="623822376"/>
      </c:bar3DChart>
      <c:catAx>
        <c:axId val="63255652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556920"/>
        <c:crosses val="autoZero"/>
        <c:auto val="1"/>
        <c:lblAlgn val="ctr"/>
        <c:lblOffset val="100"/>
        <c:noMultiLvlLbl val="0"/>
      </c:catAx>
      <c:valAx>
        <c:axId val="6325569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556528"/>
        <c:crosses val="autoZero"/>
        <c:crossBetween val="between"/>
      </c:valAx>
      <c:serAx>
        <c:axId val="623822376"/>
        <c:scaling>
          <c:orientation val="minMax"/>
        </c:scaling>
        <c:delete val="1"/>
        <c:axPos val="b"/>
        <c:majorTickMark val="out"/>
        <c:minorTickMark val="none"/>
        <c:tickLblPos val="nextTo"/>
        <c:crossAx val="632556920"/>
        <c:crosses val="autoZero"/>
      </c:serAx>
      <c:spPr>
        <a:noFill/>
        <a:ln>
          <a:noFill/>
        </a:ln>
        <a:effectLst>
          <a:innerShdw blurRad="63500" dist="50800" dir="10800000">
            <a:prstClr val="black"/>
          </a:innerShdw>
        </a:effectLst>
      </c:spPr>
    </c:plotArea>
    <c:legend>
      <c:legendPos val="b"/>
      <c:layout>
        <c:manualLayout>
          <c:xMode val="edge"/>
          <c:yMode val="edge"/>
          <c:x val="0.45217843293225346"/>
          <c:y val="0.86429250349344944"/>
          <c:w val="0.15374949426551013"/>
          <c:h val="6.40469957463568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prstMaterial="dkEdge">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0" i="1"/>
              <a:t>119,500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1486519570062505"/>
                  <c:y val="0.1817993801595776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indicator'!$C$46:$C$49</c:f>
              <c:numCache>
                <c:formatCode>0%</c:formatCode>
                <c:ptCount val="4"/>
                <c:pt idx="0">
                  <c:v>0.51655787867409142</c:v>
                </c:pt>
                <c:pt idx="1">
                  <c:v>0.48344212132590858</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2016.xlsx]SituationAnalysis!PivotTable3</c:name>
    <c:fmtId val="3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SituationAnalysis!$C$748</c:f>
              <c:strCache>
                <c:ptCount val="1"/>
                <c:pt idx="0">
                  <c:v>Sum of Total PoP</c:v>
                </c:pt>
              </c:strCache>
            </c:strRef>
          </c:tx>
          <c:explosion val="1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SituationAnalysis!$B$749:$B$753</c:f>
              <c:strCache>
                <c:ptCount val="4"/>
                <c:pt idx="0">
                  <c:v>IDP in camps</c:v>
                </c:pt>
                <c:pt idx="1">
                  <c:v>IDP in Host Villages</c:v>
                </c:pt>
                <c:pt idx="2">
                  <c:v>IDP in Village type relocation</c:v>
                </c:pt>
                <c:pt idx="3">
                  <c:v>Student in surrounding villages school</c:v>
                </c:pt>
              </c:strCache>
            </c:strRef>
          </c:cat>
          <c:val>
            <c:numRef>
              <c:f>SituationAnalysis!$C$749:$C$753</c:f>
              <c:numCache>
                <c:formatCode>0</c:formatCode>
                <c:ptCount val="4"/>
                <c:pt idx="0">
                  <c:v>64547</c:v>
                </c:pt>
                <c:pt idx="1">
                  <c:v>6231</c:v>
                </c:pt>
                <c:pt idx="2">
                  <c:v>2707</c:v>
                </c:pt>
                <c:pt idx="3">
                  <c:v>5108</c:v>
                </c:pt>
              </c:numCache>
            </c:numRef>
          </c:val>
        </c:ser>
        <c:ser>
          <c:idx val="1"/>
          <c:order val="1"/>
          <c:tx>
            <c:strRef>
              <c:f>SituationAnalysis!$D$748</c:f>
              <c:strCache>
                <c:ptCount val="1"/>
                <c:pt idx="0">
                  <c:v>Sum of IDP population observed by Wash Cluster living in the camp</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cat>
            <c:strRef>
              <c:f>SituationAnalysis!$B$749:$B$753</c:f>
              <c:strCache>
                <c:ptCount val="4"/>
                <c:pt idx="0">
                  <c:v>IDP in camps</c:v>
                </c:pt>
                <c:pt idx="1">
                  <c:v>IDP in Host Villages</c:v>
                </c:pt>
                <c:pt idx="2">
                  <c:v>IDP in Village type relocation</c:v>
                </c:pt>
                <c:pt idx="3">
                  <c:v>Student in surrounding villages school</c:v>
                </c:pt>
              </c:strCache>
            </c:strRef>
          </c:cat>
          <c:val>
            <c:numRef>
              <c:f>SituationAnalysis!$D$749:$D$753</c:f>
              <c:numCache>
                <c:formatCode>0</c:formatCode>
                <c:ptCount val="4"/>
                <c:pt idx="0">
                  <c:v>62008</c:v>
                </c:pt>
                <c:pt idx="1">
                  <c:v>4241</c:v>
                </c:pt>
                <c:pt idx="2">
                  <c:v>2707</c:v>
                </c:pt>
                <c:pt idx="3">
                  <c:v>4802</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2016.xlsx]SituationAnalysis!PivotTable7</c:name>
    <c:fmtId val="4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SituationAnalysis!$C$770</c:f>
              <c:strCache>
                <c:ptCount val="1"/>
                <c:pt idx="0">
                  <c:v>Sum of Total PoP</c:v>
                </c:pt>
              </c:strCache>
            </c:strRef>
          </c:tx>
          <c:explosion val="2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SituationAnalysis!$B$771:$B$774</c:f>
              <c:strCache>
                <c:ptCount val="3"/>
                <c:pt idx="0">
                  <c:v>Rural</c:v>
                </c:pt>
                <c:pt idx="1">
                  <c:v>Sub-urban</c:v>
                </c:pt>
                <c:pt idx="2">
                  <c:v>Urban</c:v>
                </c:pt>
              </c:strCache>
            </c:strRef>
          </c:cat>
          <c:val>
            <c:numRef>
              <c:f>SituationAnalysis!$C$771:$C$774</c:f>
              <c:numCache>
                <c:formatCode>0</c:formatCode>
                <c:ptCount val="3"/>
                <c:pt idx="0">
                  <c:v>41079</c:v>
                </c:pt>
                <c:pt idx="1">
                  <c:v>17395</c:v>
                </c:pt>
                <c:pt idx="2">
                  <c:v>20119</c:v>
                </c:pt>
              </c:numCache>
            </c:numRef>
          </c:val>
        </c:ser>
        <c:ser>
          <c:idx val="1"/>
          <c:order val="1"/>
          <c:tx>
            <c:strRef>
              <c:f>SituationAnalysis!$D$770</c:f>
              <c:strCache>
                <c:ptCount val="1"/>
                <c:pt idx="0">
                  <c:v>Sum of IDP population observed by Wash Cluster living in the camp</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cat>
            <c:strRef>
              <c:f>SituationAnalysis!$B$771:$B$774</c:f>
              <c:strCache>
                <c:ptCount val="3"/>
                <c:pt idx="0">
                  <c:v>Rural</c:v>
                </c:pt>
                <c:pt idx="1">
                  <c:v>Sub-urban</c:v>
                </c:pt>
                <c:pt idx="2">
                  <c:v>Urban</c:v>
                </c:pt>
              </c:strCache>
            </c:strRef>
          </c:cat>
          <c:val>
            <c:numRef>
              <c:f>SituationAnalysis!$D$771:$D$774</c:f>
              <c:numCache>
                <c:formatCode>0</c:formatCode>
                <c:ptCount val="3"/>
                <c:pt idx="0">
                  <c:v>38027</c:v>
                </c:pt>
                <c:pt idx="1">
                  <c:v>16139</c:v>
                </c:pt>
                <c:pt idx="2">
                  <c:v>19592</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prstMaterial="matte">
      <a:bevel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178521050701339"/>
          <c:y val="1.1300614649331121E-2"/>
          <c:w val="0.6910104873583478"/>
          <c:h val="0.95086365972952969"/>
        </c:manualLayout>
      </c:layout>
      <c:bar3DChart>
        <c:barDir val="bar"/>
        <c:grouping val="stacked"/>
        <c:varyColors val="0"/>
        <c:ser>
          <c:idx val="0"/>
          <c:order val="0"/>
          <c:tx>
            <c:strRef>
              <c:f>SituationAnalysis!$Q$475:$Q$479</c:f>
              <c:strCache>
                <c:ptCount val="5"/>
                <c:pt idx="0">
                  <c:v>Project Ending Date</c:v>
                </c:pt>
                <c:pt idx="1">
                  <c:v>31-May-16</c:v>
                </c:pt>
                <c:pt idx="2">
                  <c:v>31-May-16</c:v>
                </c:pt>
                <c:pt idx="3">
                  <c:v>30-Mar-16</c:v>
                </c:pt>
                <c:pt idx="4">
                  <c:v>Gap</c:v>
                </c:pt>
              </c:strCache>
            </c:strRef>
          </c:tx>
          <c:spPr>
            <a:solidFill>
              <a:schemeClr val="accent1"/>
            </a:solidFill>
            <a:ln>
              <a:noFill/>
            </a:ln>
            <a:effectLst/>
            <a:sp3d/>
          </c:spPr>
          <c:invertIfNegative val="0"/>
          <c:cat>
            <c:strRef>
              <c:f>SituationAnalysis!$P$476:$P$650</c:f>
              <c:strCache>
                <c:ptCount val="175"/>
                <c:pt idx="0">
                  <c:v>AD-2000 Extension camp</c:v>
                </c:pt>
                <c:pt idx="1">
                  <c:v>AD-2000 Tharthana Compound*</c:v>
                </c:pt>
                <c:pt idx="2">
                  <c:v>Aung Thar Church</c:v>
                </c:pt>
                <c:pt idx="3">
                  <c:v>Bhamo Host Families</c:v>
                </c:pt>
                <c:pt idx="4">
                  <c:v>Htoi San Church*</c:v>
                </c:pt>
                <c:pt idx="5">
                  <c:v>Lisu Boarding-House</c:v>
                </c:pt>
                <c:pt idx="6">
                  <c:v>Mu-yin Baptist Church</c:v>
                </c:pt>
                <c:pt idx="7">
                  <c:v>Nant Hlaing Church</c:v>
                </c:pt>
                <c:pt idx="8">
                  <c:v>Phan Khar Kone*</c:v>
                </c:pt>
                <c:pt idx="9">
                  <c:v>Robert Church*</c:v>
                </c:pt>
                <c:pt idx="10">
                  <c:v>Ta Gun Taing Monastery (Shwe Kyi Na)</c:v>
                </c:pt>
                <c:pt idx="11">
                  <c:v>Yoe Kyi Monastery</c:v>
                </c:pt>
                <c:pt idx="12">
                  <c:v>Chipwi (School coumpound)</c:v>
                </c:pt>
                <c:pt idx="13">
                  <c:v>Chipwi KBC camp</c:v>
                </c:pt>
                <c:pt idx="14">
                  <c:v>Hpare Hkyer - BP6</c:v>
                </c:pt>
                <c:pt idx="15">
                  <c:v>Lhaovao Baptist Church (LBC)</c:v>
                </c:pt>
                <c:pt idx="16">
                  <c:v>Pan Wa</c:v>
                </c:pt>
                <c:pt idx="17">
                  <c:v>Pan Wa (Saw Zam) camp </c:v>
                </c:pt>
                <c:pt idx="18">
                  <c:v>5 Ward Baptist Church(lon Khin)</c:v>
                </c:pt>
                <c:pt idx="19">
                  <c:v>5 Ward RC Church(lon Khin)</c:v>
                </c:pt>
                <c:pt idx="20">
                  <c:v>AG Church, Hmaw Si Sa</c:v>
                </c:pt>
                <c:pt idx="21">
                  <c:v>AG Church, Maw Wan</c:v>
                </c:pt>
                <c:pt idx="22">
                  <c:v>Baptist Church, Hmaw Si Sar(Lon Khin)</c:v>
                </c:pt>
                <c:pt idx="23">
                  <c:v>Baptist Church, Naung Hmee VT</c:v>
                </c:pt>
                <c:pt idx="24">
                  <c:v>Chin Church, Seik Mu</c:v>
                </c:pt>
                <c:pt idx="25">
                  <c:v>Dhama Rakhita, Nyein Chan Tar Yar Ward(Lon Khin)</c:v>
                </c:pt>
                <c:pt idx="26">
                  <c:v>Hlaing Naung Baptist</c:v>
                </c:pt>
                <c:pt idx="27">
                  <c:v>Hmaw Wan, Anglican</c:v>
                </c:pt>
                <c:pt idx="28">
                  <c:v>Hpakant Baptist Church, Nam Ma Hpit</c:v>
                </c:pt>
                <c:pt idx="29">
                  <c:v>Ku Day Maw KBC</c:v>
                </c:pt>
                <c:pt idx="30">
                  <c:v>Lisu Baptist Church, Maw Shan Vil,. Seik Mu</c:v>
                </c:pt>
                <c:pt idx="31">
                  <c:v>Lisu Baptist Church, Maw Wan Ward</c:v>
                </c:pt>
                <c:pt idx="32">
                  <c:v>Maw Wan, Mu-yin Baptist Church</c:v>
                </c:pt>
                <c:pt idx="33">
                  <c:v>Nam Ma Phyit, COC</c:v>
                </c:pt>
                <c:pt idx="34">
                  <c:v>Nant Ma Hpit Catholic Church</c:v>
                </c:pt>
                <c:pt idx="35">
                  <c:v>Rawan Baptist Church, Maw Shan Vil., Seik Mu</c:v>
                </c:pt>
                <c:pt idx="36">
                  <c:v>Sai Nai Baptish Church, Maw Shan Vil., Seki Mu</c:v>
                </c:pt>
                <c:pt idx="37">
                  <c:v>Ward 2 Sai Taung Baptist Church, Seik Mu </c:v>
                </c:pt>
                <c:pt idx="38">
                  <c:v>Yumar Baptist Church</c:v>
                </c:pt>
                <c:pt idx="39">
                  <c:v>Nam Sa Larp</c:v>
                </c:pt>
                <c:pt idx="40">
                  <c:v>Narte</c:v>
                </c:pt>
                <c:pt idx="41">
                  <c:v>La Ja</c:v>
                </c:pt>
                <c:pt idx="42">
                  <c:v>Kone Khem Camp</c:v>
                </c:pt>
                <c:pt idx="43">
                  <c:v>Kutkai downtown (KBC Church)</c:v>
                </c:pt>
                <c:pt idx="44">
                  <c:v>Kutkai downtown (RC Church)</c:v>
                </c:pt>
                <c:pt idx="45">
                  <c:v>Mine Yu Lay village</c:v>
                </c:pt>
                <c:pt idx="46">
                  <c:v>Mungji Pa Dabang (Baptist Church)         </c:v>
                </c:pt>
                <c:pt idx="47">
                  <c:v>Mungji Pa Dabang (RC Church)         </c:v>
                </c:pt>
                <c:pt idx="48">
                  <c:v>Nam Hpak Ka Mare </c:v>
                </c:pt>
                <c:pt idx="49">
                  <c:v>Pan Ku</c:v>
                </c:pt>
                <c:pt idx="50">
                  <c:v>Zup Aung Camp</c:v>
                </c:pt>
                <c:pt idx="51">
                  <c:v>Bum Tsit Pa * (1)</c:v>
                </c:pt>
                <c:pt idx="52">
                  <c:v>Bum Tsit Pa * (2)</c:v>
                </c:pt>
                <c:pt idx="53">
                  <c:v>Bum Tsit Pa * (3)</c:v>
                </c:pt>
                <c:pt idx="54">
                  <c:v>Clutural Compound</c:v>
                </c:pt>
                <c:pt idx="55">
                  <c:v>Lana Zup Ja *</c:v>
                </c:pt>
                <c:pt idx="56">
                  <c:v>Maing Khaung Baptist Church</c:v>
                </c:pt>
                <c:pt idx="57">
                  <c:v>Maing Khaung Catholic Church</c:v>
                </c:pt>
                <c:pt idx="58">
                  <c:v>Man Wing Baptist Church*</c:v>
                </c:pt>
                <c:pt idx="59">
                  <c:v>Man Wing Catholic Church*</c:v>
                </c:pt>
                <c:pt idx="60">
                  <c:v>Mansi Baptist Church*</c:v>
                </c:pt>
                <c:pt idx="61">
                  <c:v>Mansi Host Families</c:v>
                </c:pt>
                <c:pt idx="62">
                  <c:v>MWG -RC2</c:v>
                </c:pt>
                <c:pt idx="63">
                  <c:v>(Nam Hoi) Host families</c:v>
                </c:pt>
                <c:pt idx="64">
                  <c:v>Mandung - Jinghpaw</c:v>
                </c:pt>
                <c:pt idx="65">
                  <c:v>Mandung - RC</c:v>
                </c:pt>
                <c:pt idx="66">
                  <c:v>Kyun Taw Baptist Church </c:v>
                </c:pt>
                <c:pt idx="67">
                  <c:v>Ma Hawng RC </c:v>
                </c:pt>
                <c:pt idx="68">
                  <c:v>Mang Hawng Baptist Church</c:v>
                </c:pt>
                <c:pt idx="69">
                  <c:v>Nat Gyi Kone Baptist Church </c:v>
                </c:pt>
                <c:pt idx="70">
                  <c:v>Sar Hmaw - KBC</c:v>
                </c:pt>
                <c:pt idx="71">
                  <c:v>Sar Maw-ICM</c:v>
                </c:pt>
                <c:pt idx="72">
                  <c:v>Nawng Ing (Indawgyi) Baptist Church  </c:v>
                </c:pt>
                <c:pt idx="73">
                  <c:v>St. Patrick Catholic Church </c:v>
                </c:pt>
                <c:pt idx="74">
                  <c:v>Agritural Compound (KBC)</c:v>
                </c:pt>
                <c:pt idx="75">
                  <c:v>Dum Bung </c:v>
                </c:pt>
                <c:pt idx="76">
                  <c:v>Hpun Lum Yang </c:v>
                </c:pt>
                <c:pt idx="77">
                  <c:v>Je Yang Hka </c:v>
                </c:pt>
                <c:pt idx="78">
                  <c:v>Kachin Su Baptist Church (ECCD)</c:v>
                </c:pt>
                <c:pt idx="79">
                  <c:v>Khar Nan (1) Baptist Church</c:v>
                </c:pt>
                <c:pt idx="80">
                  <c:v>Khun Sint Village</c:v>
                </c:pt>
                <c:pt idx="81">
                  <c:v>Loi Je Baptist Church</c:v>
                </c:pt>
                <c:pt idx="82">
                  <c:v>Loi Je Catholic Church</c:v>
                </c:pt>
                <c:pt idx="83">
                  <c:v>Loi Je Lisu  (1) Camp</c:v>
                </c:pt>
                <c:pt idx="84">
                  <c:v>Loi Je Lisu  (2) Camp</c:v>
                </c:pt>
                <c:pt idx="85">
                  <c:v>Loi Je Lisu  (3) Camp</c:v>
                </c:pt>
                <c:pt idx="86">
                  <c:v>Loi Je Lisu  (4) Camp</c:v>
                </c:pt>
                <c:pt idx="87">
                  <c:v>Loi Je Nyaung Na Pin </c:v>
                </c:pt>
                <c:pt idx="88">
                  <c:v>Loi Je RC Boarding School</c:v>
                </c:pt>
                <c:pt idx="89">
                  <c:v>Loi Je Seng Ja </c:v>
                </c:pt>
                <c:pt idx="90">
                  <c:v>Mai Khat </c:v>
                </c:pt>
                <c:pt idx="91">
                  <c:v>Man Bung Catholic compound</c:v>
                </c:pt>
                <c:pt idx="92">
                  <c:v>Man Bung Edin Baptist Church</c:v>
                </c:pt>
                <c:pt idx="93">
                  <c:v>Man Nawng </c:v>
                </c:pt>
                <c:pt idx="94">
                  <c:v>Mandalay Monestry</c:v>
                </c:pt>
                <c:pt idx="95">
                  <c:v>Momauk Baptist Church</c:v>
                </c:pt>
                <c:pt idx="96">
                  <c:v>Momauk Host Families</c:v>
                </c:pt>
                <c:pt idx="97">
                  <c:v>Myo Thit </c:v>
                </c:pt>
                <c:pt idx="98">
                  <c:v>Nhkawng Pa </c:v>
                </c:pt>
                <c:pt idx="99">
                  <c:v>Ni Thaw Ka Monestry</c:v>
                </c:pt>
                <c:pt idx="100">
                  <c:v>Pa Kahtawng 1 A</c:v>
                </c:pt>
                <c:pt idx="101">
                  <c:v>Pa Kahtawng 1B</c:v>
                </c:pt>
                <c:pt idx="102">
                  <c:v>Pa Kahtawng 2</c:v>
                </c:pt>
                <c:pt idx="103">
                  <c:v>Pa Kahtawng Boarding High School </c:v>
                </c:pt>
                <c:pt idx="104">
                  <c:v>Pa Kahtawng Boarding Middle School </c:v>
                </c:pt>
                <c:pt idx="105">
                  <c:v>Pa Kahtawng Host Families</c:v>
                </c:pt>
                <c:pt idx="106">
                  <c:v>Pa Kahtawng Primary House</c:v>
                </c:pt>
                <c:pt idx="107">
                  <c:v>Tarli </c:v>
                </c:pt>
                <c:pt idx="108">
                  <c:v>Muse KBC Church</c:v>
                </c:pt>
                <c:pt idx="109">
                  <c:v>Muse RC Church</c:v>
                </c:pt>
                <c:pt idx="110">
                  <c:v>Nam Hkawng/Manaung kaung</c:v>
                </c:pt>
                <c:pt idx="111">
                  <c:v>Du Kahtawng Qtr. 14</c:v>
                </c:pt>
                <c:pt idx="112">
                  <c:v>Du Kahtawng Qtr. 4</c:v>
                </c:pt>
                <c:pt idx="113">
                  <c:v>Du Kahtawng Qtr. 5</c:v>
                </c:pt>
                <c:pt idx="114">
                  <c:v>Jan Mai Kawng Baptist Church</c:v>
                </c:pt>
                <c:pt idx="115">
                  <c:v>Jan Mai Kawng Catholic Church</c:v>
                </c:pt>
                <c:pt idx="116">
                  <c:v>Kyun Pin Thar Baptist Church</c:v>
                </c:pt>
                <c:pt idx="117">
                  <c:v>Lawk Awng Mare D. (Sinbo Area)</c:v>
                </c:pt>
                <c:pt idx="118">
                  <c:v>Le Kone Bethlehem Church</c:v>
                </c:pt>
                <c:pt idx="119">
                  <c:v>Le Kone Ziun Baptist Church </c:v>
                </c:pt>
                <c:pt idx="120">
                  <c:v>Maliyang Baptist Church</c:v>
                </c:pt>
                <c:pt idx="121">
                  <c:v>Man Hkring Baptist Church</c:v>
                </c:pt>
                <c:pt idx="122">
                  <c:v>Maw Hpawng Hka Nan Baptist Church</c:v>
                </c:pt>
                <c:pt idx="123">
                  <c:v>Maw Hpawng Lhaovo Baptist Church</c:v>
                </c:pt>
                <c:pt idx="124">
                  <c:v>Nan Kway St. John Catholic Church</c:v>
                </c:pt>
                <c:pt idx="125">
                  <c:v>Njang Dung Baptist Church </c:v>
                </c:pt>
                <c:pt idx="126">
                  <c:v>Pa Dauk Myaing(Pa La Na)</c:v>
                </c:pt>
                <c:pt idx="127">
                  <c:v>Shatapru Sut Ngai Tawng</c:v>
                </c:pt>
                <c:pt idx="128">
                  <c:v>Shatapru Thida Aye Baptist Church</c:v>
                </c:pt>
                <c:pt idx="129">
                  <c:v>Shwe Zet Baptist Church</c:v>
                </c:pt>
                <c:pt idx="130">
                  <c:v>Tat Kone (Ra Da Kawng)</c:v>
                </c:pt>
                <c:pt idx="131">
                  <c:v>Tat Kone Baptist Church</c:v>
                </c:pt>
                <c:pt idx="132">
                  <c:v>Tat Kone COC Baptist / Tat Kone Htoi San</c:v>
                </c:pt>
                <c:pt idx="133">
                  <c:v>Tat Kone Emanuel Church</c:v>
                </c:pt>
                <c:pt idx="134">
                  <c:v>Tat Kone Galile Baptist Church</c:v>
                </c:pt>
                <c:pt idx="135">
                  <c:v>Tat Kone San Pya Baptist Church</c:v>
                </c:pt>
                <c:pt idx="136">
                  <c:v>Wun Tho Buddhist Monastery</c:v>
                </c:pt>
                <c:pt idx="137">
                  <c:v>Bang Lung</c:v>
                </c:pt>
                <c:pt idx="138">
                  <c:v>Jaw 2</c:v>
                </c:pt>
                <c:pt idx="139">
                  <c:v>Nam Hkam - Nay Win Ni (Palawng)</c:v>
                </c:pt>
                <c:pt idx="140">
                  <c:v>Nam Hkam (KBC Jaw Wang)</c:v>
                </c:pt>
                <c:pt idx="141">
                  <c:v>Nam Hkam Catholic Church ( St. Thomas I)</c:v>
                </c:pt>
                <c:pt idx="142">
                  <c:v>Namtu Baptist</c:v>
                </c:pt>
                <c:pt idx="143">
                  <c:v>Doke Htan Ward</c:v>
                </c:pt>
                <c:pt idx="144">
                  <c:v>Lung Sut</c:v>
                </c:pt>
                <c:pt idx="145">
                  <c:v>N-Lwe Yan</c:v>
                </c:pt>
                <c:pt idx="146">
                  <c:v>Shwe Gu Baptist Church</c:v>
                </c:pt>
                <c:pt idx="147">
                  <c:v>Shwe Gu Catholic Church</c:v>
                </c:pt>
                <c:pt idx="148">
                  <c:v>Shwegu Host Families</c:v>
                </c:pt>
                <c:pt idx="149">
                  <c:v>Border Post 8</c:v>
                </c:pt>
                <c:pt idx="150">
                  <c:v>Boys Boarding house, A Len Bum</c:v>
                </c:pt>
                <c:pt idx="151">
                  <c:v>Girl Boarding house, A Len Bum</c:v>
                </c:pt>
                <c:pt idx="152">
                  <c:v>Hkat Cho </c:v>
                </c:pt>
                <c:pt idx="153">
                  <c:v>Hkau Shau (BP 12)</c:v>
                </c:pt>
                <c:pt idx="154">
                  <c:v>Mading Baptist Church</c:v>
                </c:pt>
                <c:pt idx="155">
                  <c:v>Maga Yang </c:v>
                </c:pt>
                <c:pt idx="156">
                  <c:v>Maina AG Church</c:v>
                </c:pt>
                <c:pt idx="157">
                  <c:v>Maina Catholic Church (St. Joseph)</c:v>
                </c:pt>
                <c:pt idx="158">
                  <c:v>Maina KBC (Bawng Ring)</c:v>
                </c:pt>
                <c:pt idx="159">
                  <c:v>Maina Lawang Baptist Church</c:v>
                </c:pt>
                <c:pt idx="160">
                  <c:v>Nawng Hee Village</c:v>
                </c:pt>
                <c:pt idx="161">
                  <c:v>Pajau / Jan Mai</c:v>
                </c:pt>
                <c:pt idx="162">
                  <c:v>Post 6 Camp</c:v>
                </c:pt>
                <c:pt idx="163">
                  <c:v>Qtr. 2 Lhaovo Baptist Church</c:v>
                </c:pt>
                <c:pt idx="164">
                  <c:v>Qtr. 2 Myoma Baptist Church</c:v>
                </c:pt>
                <c:pt idx="165">
                  <c:v>Qtr. 3 Mu-yin  Baptist Church</c:v>
                </c:pt>
                <c:pt idx="166">
                  <c:v>Qtr. 4 Monestry (Thargaya Thayett Taw)</c:v>
                </c:pt>
                <c:pt idx="167">
                  <c:v>Shing Jai</c:v>
                </c:pt>
                <c:pt idx="168">
                  <c:v>Thargaya Lisu Baptist Church</c:v>
                </c:pt>
                <c:pt idx="169">
                  <c:v>Waingmaw AG Church</c:v>
                </c:pt>
                <c:pt idx="170">
                  <c:v>Waingmaw Baptist Zonal Office</c:v>
                </c:pt>
                <c:pt idx="171">
                  <c:v>Woi Chyai </c:v>
                </c:pt>
                <c:pt idx="172">
                  <c:v>Woi Chyai  host families</c:v>
                </c:pt>
                <c:pt idx="173">
                  <c:v>Woi Chyai (Mong Lai)</c:v>
                </c:pt>
                <c:pt idx="174">
                  <c:v>Zai Awng / Mung Ga Zup</c:v>
                </c:pt>
              </c:strCache>
            </c:strRef>
          </c:cat>
          <c:val>
            <c:numRef>
              <c:f>SituationAnalysis!$Q$476:$Q$650</c:f>
              <c:numCache>
                <c:formatCode>[$-409]d\-mmm\-yy;@</c:formatCode>
                <c:ptCount val="175"/>
                <c:pt idx="0">
                  <c:v>42521</c:v>
                </c:pt>
                <c:pt idx="1">
                  <c:v>42521</c:v>
                </c:pt>
                <c:pt idx="2">
                  <c:v>42459</c:v>
                </c:pt>
                <c:pt idx="3">
                  <c:v>0</c:v>
                </c:pt>
                <c:pt idx="4">
                  <c:v>42459</c:v>
                </c:pt>
                <c:pt idx="5">
                  <c:v>42459</c:v>
                </c:pt>
                <c:pt idx="6">
                  <c:v>42459</c:v>
                </c:pt>
                <c:pt idx="7">
                  <c:v>42459</c:v>
                </c:pt>
                <c:pt idx="8">
                  <c:v>42521</c:v>
                </c:pt>
                <c:pt idx="9">
                  <c:v>42521</c:v>
                </c:pt>
                <c:pt idx="10">
                  <c:v>42521</c:v>
                </c:pt>
                <c:pt idx="11">
                  <c:v>42459</c:v>
                </c:pt>
                <c:pt idx="12">
                  <c:v>0</c:v>
                </c:pt>
                <c:pt idx="13">
                  <c:v>42429</c:v>
                </c:pt>
                <c:pt idx="14">
                  <c:v>0</c:v>
                </c:pt>
                <c:pt idx="15">
                  <c:v>42369</c:v>
                </c:pt>
                <c:pt idx="16">
                  <c:v>42369</c:v>
                </c:pt>
                <c:pt idx="17">
                  <c:v>42369</c:v>
                </c:pt>
                <c:pt idx="18">
                  <c:v>42456</c:v>
                </c:pt>
                <c:pt idx="19">
                  <c:v>42369</c:v>
                </c:pt>
                <c:pt idx="20">
                  <c:v>42456</c:v>
                </c:pt>
                <c:pt idx="21">
                  <c:v>42456</c:v>
                </c:pt>
                <c:pt idx="22">
                  <c:v>42456</c:v>
                </c:pt>
                <c:pt idx="23">
                  <c:v>42456</c:v>
                </c:pt>
                <c:pt idx="24">
                  <c:v>42456</c:v>
                </c:pt>
                <c:pt idx="25">
                  <c:v>42456</c:v>
                </c:pt>
                <c:pt idx="26">
                  <c:v>42400</c:v>
                </c:pt>
                <c:pt idx="27">
                  <c:v>42456</c:v>
                </c:pt>
                <c:pt idx="28">
                  <c:v>42456</c:v>
                </c:pt>
                <c:pt idx="29">
                  <c:v>42456</c:v>
                </c:pt>
                <c:pt idx="30">
                  <c:v>42456</c:v>
                </c:pt>
                <c:pt idx="31">
                  <c:v>42456</c:v>
                </c:pt>
                <c:pt idx="32">
                  <c:v>42456</c:v>
                </c:pt>
                <c:pt idx="33">
                  <c:v>42456</c:v>
                </c:pt>
                <c:pt idx="34">
                  <c:v>42369</c:v>
                </c:pt>
                <c:pt idx="35">
                  <c:v>42456</c:v>
                </c:pt>
                <c:pt idx="36">
                  <c:v>42456</c:v>
                </c:pt>
                <c:pt idx="37">
                  <c:v>42456</c:v>
                </c:pt>
                <c:pt idx="38">
                  <c:v>42456</c:v>
                </c:pt>
                <c:pt idx="39">
                  <c:v>42521</c:v>
                </c:pt>
                <c:pt idx="40">
                  <c:v>42460</c:v>
                </c:pt>
                <c:pt idx="41">
                  <c:v>42429</c:v>
                </c:pt>
                <c:pt idx="42">
                  <c:v>42460</c:v>
                </c:pt>
                <c:pt idx="43">
                  <c:v>42460</c:v>
                </c:pt>
                <c:pt idx="44">
                  <c:v>42369</c:v>
                </c:pt>
                <c:pt idx="45">
                  <c:v>42460</c:v>
                </c:pt>
                <c:pt idx="46">
                  <c:v>42460</c:v>
                </c:pt>
                <c:pt idx="47">
                  <c:v>42369</c:v>
                </c:pt>
                <c:pt idx="48">
                  <c:v>42460</c:v>
                </c:pt>
                <c:pt idx="49">
                  <c:v>42460</c:v>
                </c:pt>
                <c:pt idx="50">
                  <c:v>42460</c:v>
                </c:pt>
                <c:pt idx="51">
                  <c:v>42460</c:v>
                </c:pt>
                <c:pt idx="52">
                  <c:v>42460</c:v>
                </c:pt>
                <c:pt idx="53">
                  <c:v>42460</c:v>
                </c:pt>
                <c:pt idx="54">
                  <c:v>42460</c:v>
                </c:pt>
                <c:pt idx="55">
                  <c:v>42460</c:v>
                </c:pt>
                <c:pt idx="56">
                  <c:v>0</c:v>
                </c:pt>
                <c:pt idx="57">
                  <c:v>0</c:v>
                </c:pt>
                <c:pt idx="58">
                  <c:v>42460</c:v>
                </c:pt>
                <c:pt idx="59">
                  <c:v>42460</c:v>
                </c:pt>
                <c:pt idx="60">
                  <c:v>42459</c:v>
                </c:pt>
                <c:pt idx="61">
                  <c:v>0</c:v>
                </c:pt>
                <c:pt idx="62">
                  <c:v>42460</c:v>
                </c:pt>
                <c:pt idx="63">
                  <c:v>42369</c:v>
                </c:pt>
                <c:pt idx="64">
                  <c:v>42460</c:v>
                </c:pt>
                <c:pt idx="65">
                  <c:v>42369</c:v>
                </c:pt>
                <c:pt idx="66">
                  <c:v>42400</c:v>
                </c:pt>
                <c:pt idx="67">
                  <c:v>42429</c:v>
                </c:pt>
                <c:pt idx="68">
                  <c:v>42400</c:v>
                </c:pt>
                <c:pt idx="69">
                  <c:v>42400</c:v>
                </c:pt>
                <c:pt idx="70">
                  <c:v>42400</c:v>
                </c:pt>
                <c:pt idx="71">
                  <c:v>42400</c:v>
                </c:pt>
                <c:pt idx="72">
                  <c:v>42400</c:v>
                </c:pt>
                <c:pt idx="73">
                  <c:v>42429</c:v>
                </c:pt>
                <c:pt idx="74">
                  <c:v>42459</c:v>
                </c:pt>
                <c:pt idx="75">
                  <c:v>42369</c:v>
                </c:pt>
                <c:pt idx="76">
                  <c:v>42429</c:v>
                </c:pt>
                <c:pt idx="77">
                  <c:v>42521</c:v>
                </c:pt>
                <c:pt idx="78">
                  <c:v>42459</c:v>
                </c:pt>
                <c:pt idx="79">
                  <c:v>42459</c:v>
                </c:pt>
                <c:pt idx="80">
                  <c:v>0</c:v>
                </c:pt>
                <c:pt idx="81">
                  <c:v>42521</c:v>
                </c:pt>
                <c:pt idx="82">
                  <c:v>42521</c:v>
                </c:pt>
                <c:pt idx="83">
                  <c:v>42521</c:v>
                </c:pt>
                <c:pt idx="84">
                  <c:v>42521</c:v>
                </c:pt>
                <c:pt idx="85">
                  <c:v>42521</c:v>
                </c:pt>
                <c:pt idx="86">
                  <c:v>42521</c:v>
                </c:pt>
                <c:pt idx="87">
                  <c:v>42521</c:v>
                </c:pt>
                <c:pt idx="88">
                  <c:v>42521</c:v>
                </c:pt>
                <c:pt idx="89">
                  <c:v>42521</c:v>
                </c:pt>
                <c:pt idx="90">
                  <c:v>0</c:v>
                </c:pt>
                <c:pt idx="91">
                  <c:v>42459</c:v>
                </c:pt>
                <c:pt idx="92">
                  <c:v>42521</c:v>
                </c:pt>
                <c:pt idx="93">
                  <c:v>0</c:v>
                </c:pt>
                <c:pt idx="94">
                  <c:v>42459</c:v>
                </c:pt>
                <c:pt idx="95">
                  <c:v>42459</c:v>
                </c:pt>
                <c:pt idx="96">
                  <c:v>0</c:v>
                </c:pt>
                <c:pt idx="97">
                  <c:v>0</c:v>
                </c:pt>
                <c:pt idx="98">
                  <c:v>42460</c:v>
                </c:pt>
                <c:pt idx="99">
                  <c:v>42521</c:v>
                </c:pt>
                <c:pt idx="100">
                  <c:v>42460</c:v>
                </c:pt>
                <c:pt idx="101">
                  <c:v>42460</c:v>
                </c:pt>
                <c:pt idx="102">
                  <c:v>42460</c:v>
                </c:pt>
                <c:pt idx="103">
                  <c:v>42460</c:v>
                </c:pt>
                <c:pt idx="104">
                  <c:v>42460</c:v>
                </c:pt>
                <c:pt idx="105">
                  <c:v>42460</c:v>
                </c:pt>
                <c:pt idx="106">
                  <c:v>42460</c:v>
                </c:pt>
                <c:pt idx="107">
                  <c:v>0</c:v>
                </c:pt>
                <c:pt idx="108">
                  <c:v>42460</c:v>
                </c:pt>
                <c:pt idx="109">
                  <c:v>42460</c:v>
                </c:pt>
                <c:pt idx="110">
                  <c:v>42460</c:v>
                </c:pt>
                <c:pt idx="111">
                  <c:v>42400</c:v>
                </c:pt>
                <c:pt idx="112">
                  <c:v>42400</c:v>
                </c:pt>
                <c:pt idx="113">
                  <c:v>42400</c:v>
                </c:pt>
                <c:pt idx="114">
                  <c:v>42400</c:v>
                </c:pt>
                <c:pt idx="115">
                  <c:v>42369</c:v>
                </c:pt>
                <c:pt idx="116">
                  <c:v>42400</c:v>
                </c:pt>
                <c:pt idx="117">
                  <c:v>42369</c:v>
                </c:pt>
                <c:pt idx="118">
                  <c:v>0</c:v>
                </c:pt>
                <c:pt idx="119">
                  <c:v>0</c:v>
                </c:pt>
                <c:pt idx="120">
                  <c:v>42400</c:v>
                </c:pt>
                <c:pt idx="121">
                  <c:v>42400</c:v>
                </c:pt>
                <c:pt idx="122">
                  <c:v>42429</c:v>
                </c:pt>
                <c:pt idx="123">
                  <c:v>42429</c:v>
                </c:pt>
                <c:pt idx="124">
                  <c:v>42369</c:v>
                </c:pt>
                <c:pt idx="125">
                  <c:v>42400</c:v>
                </c:pt>
                <c:pt idx="126">
                  <c:v>42369</c:v>
                </c:pt>
                <c:pt idx="127">
                  <c:v>0</c:v>
                </c:pt>
                <c:pt idx="128">
                  <c:v>42429</c:v>
                </c:pt>
                <c:pt idx="129">
                  <c:v>0</c:v>
                </c:pt>
                <c:pt idx="130">
                  <c:v>42429</c:v>
                </c:pt>
                <c:pt idx="131">
                  <c:v>42400</c:v>
                </c:pt>
                <c:pt idx="132">
                  <c:v>42429</c:v>
                </c:pt>
                <c:pt idx="133">
                  <c:v>42429</c:v>
                </c:pt>
                <c:pt idx="134">
                  <c:v>42400</c:v>
                </c:pt>
                <c:pt idx="135">
                  <c:v>42400</c:v>
                </c:pt>
                <c:pt idx="136">
                  <c:v>42429</c:v>
                </c:pt>
                <c:pt idx="137">
                  <c:v>42460</c:v>
                </c:pt>
                <c:pt idx="138">
                  <c:v>42460</c:v>
                </c:pt>
                <c:pt idx="139">
                  <c:v>42460</c:v>
                </c:pt>
                <c:pt idx="140">
                  <c:v>42460</c:v>
                </c:pt>
                <c:pt idx="141">
                  <c:v>42369</c:v>
                </c:pt>
                <c:pt idx="142">
                  <c:v>42460</c:v>
                </c:pt>
                <c:pt idx="143">
                  <c:v>42429</c:v>
                </c:pt>
                <c:pt idx="144">
                  <c:v>42400</c:v>
                </c:pt>
                <c:pt idx="145">
                  <c:v>42429</c:v>
                </c:pt>
                <c:pt idx="146">
                  <c:v>42459</c:v>
                </c:pt>
                <c:pt idx="147">
                  <c:v>42459</c:v>
                </c:pt>
                <c:pt idx="148">
                  <c:v>0</c:v>
                </c:pt>
                <c:pt idx="149">
                  <c:v>42369</c:v>
                </c:pt>
                <c:pt idx="150">
                  <c:v>42429</c:v>
                </c:pt>
                <c:pt idx="151">
                  <c:v>42429</c:v>
                </c:pt>
                <c:pt idx="152">
                  <c:v>42429</c:v>
                </c:pt>
                <c:pt idx="153">
                  <c:v>42400</c:v>
                </c:pt>
                <c:pt idx="154">
                  <c:v>42400</c:v>
                </c:pt>
                <c:pt idx="155">
                  <c:v>0</c:v>
                </c:pt>
                <c:pt idx="156">
                  <c:v>42429</c:v>
                </c:pt>
                <c:pt idx="157">
                  <c:v>42369</c:v>
                </c:pt>
                <c:pt idx="158">
                  <c:v>0</c:v>
                </c:pt>
                <c:pt idx="159">
                  <c:v>42400</c:v>
                </c:pt>
                <c:pt idx="160">
                  <c:v>42429</c:v>
                </c:pt>
                <c:pt idx="161">
                  <c:v>0</c:v>
                </c:pt>
                <c:pt idx="162">
                  <c:v>42369</c:v>
                </c:pt>
                <c:pt idx="163">
                  <c:v>42429</c:v>
                </c:pt>
                <c:pt idx="164">
                  <c:v>42400</c:v>
                </c:pt>
                <c:pt idx="165">
                  <c:v>42429</c:v>
                </c:pt>
                <c:pt idx="166">
                  <c:v>42429</c:v>
                </c:pt>
                <c:pt idx="167">
                  <c:v>42400</c:v>
                </c:pt>
                <c:pt idx="168">
                  <c:v>42429</c:v>
                </c:pt>
                <c:pt idx="169">
                  <c:v>42429</c:v>
                </c:pt>
                <c:pt idx="170">
                  <c:v>42400</c:v>
                </c:pt>
                <c:pt idx="171">
                  <c:v>42429</c:v>
                </c:pt>
                <c:pt idx="172">
                  <c:v>42429</c:v>
                </c:pt>
                <c:pt idx="173">
                  <c:v>42429</c:v>
                </c:pt>
                <c:pt idx="174">
                  <c:v>42400</c:v>
                </c:pt>
              </c:numCache>
            </c:numRef>
          </c:val>
        </c:ser>
        <c:dLbls>
          <c:showLegendKey val="0"/>
          <c:showVal val="0"/>
          <c:showCatName val="0"/>
          <c:showSerName val="0"/>
          <c:showPercent val="0"/>
          <c:showBubbleSize val="0"/>
        </c:dLbls>
        <c:gapWidth val="150"/>
        <c:shape val="box"/>
        <c:axId val="632558488"/>
        <c:axId val="632558880"/>
        <c:axId val="0"/>
      </c:bar3DChart>
      <c:catAx>
        <c:axId val="6325584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558880"/>
        <c:crosses val="autoZero"/>
        <c:auto val="1"/>
        <c:lblAlgn val="ctr"/>
        <c:lblOffset val="100"/>
        <c:noMultiLvlLbl val="0"/>
      </c:catAx>
      <c:valAx>
        <c:axId val="632558880"/>
        <c:scaling>
          <c:orientation val="minMax"/>
          <c:max val="42571"/>
          <c:min val="42364"/>
        </c:scaling>
        <c:delete val="0"/>
        <c:axPos val="b"/>
        <c:majorGridlines>
          <c:spPr>
            <a:ln w="9525" cap="flat" cmpd="sng" algn="ctr">
              <a:solidFill>
                <a:schemeClr val="tx1">
                  <a:lumMod val="15000"/>
                  <a:lumOff val="85000"/>
                </a:schemeClr>
              </a:solidFill>
              <a:round/>
            </a:ln>
            <a:effectLst/>
          </c:spPr>
        </c:majorGridlines>
        <c:numFmt formatCode="[$-409]d\-mmm\-yy;@"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55848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analysis!PivotTable2</c:name>
    <c:fmtId val="8"/>
  </c:pivotSource>
  <c:chart>
    <c:title>
      <c:tx>
        <c:rich>
          <a:bodyPr/>
          <a:lstStyle/>
          <a:p>
            <a:pPr>
              <a:defRPr sz="1400"/>
            </a:pPr>
            <a:r>
              <a:rPr lang="en-US" sz="1400"/>
              <a:t>DONORS</a:t>
            </a:r>
            <a:r>
              <a:rPr lang="en-US" sz="1400" baseline="0"/>
              <a:t> FUNDING</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0.10547935324878284"/>
              <c:y val="-0.10599319572803956"/>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3221509286530023"/>
              <c:y val="-0.14823952615611244"/>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1.3367944941996755E-2"/>
              <c:y val="3.7459007768794947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5.2573781330768767E-2"/>
              <c:y val="0.2031158479911614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8.6406804111318052E-3"/>
              <c:y val="0.19588981638987768"/>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3819829296147143"/>
              <c:y val="-6.9367842800273569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8.9854691350604074E-2"/>
              <c:y val="-0.23238254739315725"/>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4.5496483741059093E-2"/>
              <c:y val="0.11570484716693265"/>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0.10028911462403077"/>
              <c:y val="-6.9890658155481126E-3"/>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6.3101520706858205E-2"/>
              <c:y val="-0.1630263227118881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dLbl>
          <c:idx val="0"/>
          <c:layout>
            <c:manualLayout>
              <c:x val="1.3842038829115826E-2"/>
              <c:y val="8.304762990372305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4.5852467391957683E-2"/>
              <c:y val="3.694189186819353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9.2312315922341761E-3"/>
              <c:y val="-0.1730843256229942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3397547634789926E-2"/>
              <c:y val="-0.1285658856952457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5.9089529362264831E-2"/>
              <c:y val="0.1029536327446819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analysis'!$C$8:$C$9</c:f>
              <c:strCache>
                <c:ptCount val="1"/>
                <c:pt idx="0">
                  <c:v>Total</c:v>
                </c:pt>
              </c:strCache>
            </c:strRef>
          </c:tx>
          <c:explosion val="25"/>
          <c:dLbls>
            <c:dLbl>
              <c:idx val="0"/>
              <c:layout>
                <c:manualLayout>
                  <c:x val="1.3397547634789926E-2"/>
                  <c:y val="-0.1285658856952457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5.946545414217589E-2"/>
                  <c:y val="-0.118923884514435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1.3842038829115826E-2"/>
                  <c:y val="8.304762990372305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4.5852467391957683E-2"/>
                  <c:y val="3.694189186819353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5.2573781330768767E-2"/>
                  <c:y val="0.2031158479911614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8.6406804111318052E-3"/>
                  <c:y val="0.1958898163898776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4.5496483741059093E-2"/>
                  <c:y val="0.1157048471669326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0028911462403077"/>
                  <c:y val="-6.9890658155481126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0547935324878284"/>
                  <c:y val="-0.1059931957280395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8.9854691350604074E-2"/>
                  <c:y val="-0.2323825473931572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9.2312315922341761E-3"/>
                  <c:y val="-0.1730843256229942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6.3101520706858205E-2"/>
                  <c:y val="-0.1630263227118881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0.13221509286530023"/>
                  <c:y val="-0.14823952615611244"/>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'Funds analysis'!$B$10:$B$29</c:f>
              <c:strCache>
                <c:ptCount val="19"/>
                <c:pt idx="0">
                  <c:v>ECHO</c:v>
                </c:pt>
                <c:pt idx="1">
                  <c:v>Germany</c:v>
                </c:pt>
                <c:pt idx="2">
                  <c:v>OFDA</c:v>
                </c:pt>
                <c:pt idx="3">
                  <c:v>CERF</c:v>
                </c:pt>
                <c:pt idx="4">
                  <c:v>Canada</c:v>
                </c:pt>
                <c:pt idx="5">
                  <c:v>Australian</c:v>
                </c:pt>
                <c:pt idx="6">
                  <c:v>France</c:v>
                </c:pt>
                <c:pt idx="7">
                  <c:v>Sweden</c:v>
                </c:pt>
                <c:pt idx="8">
                  <c:v>CIDA</c:v>
                </c:pt>
                <c:pt idx="9">
                  <c:v>Japan</c:v>
                </c:pt>
                <c:pt idx="10">
                  <c:v>SC seed funding</c:v>
                </c:pt>
                <c:pt idx="11">
                  <c:v>SIDA</c:v>
                </c:pt>
                <c:pt idx="12">
                  <c:v>Start fund</c:v>
                </c:pt>
                <c:pt idx="13">
                  <c:v>DFAT</c:v>
                </c:pt>
                <c:pt idx="14">
                  <c:v>ERF</c:v>
                </c:pt>
                <c:pt idx="15">
                  <c:v>FCA</c:v>
                </c:pt>
                <c:pt idx="16">
                  <c:v>HIDA</c:v>
                </c:pt>
                <c:pt idx="17">
                  <c:v>WHH</c:v>
                </c:pt>
                <c:pt idx="18">
                  <c:v>DFID</c:v>
                </c:pt>
              </c:strCache>
            </c:strRef>
          </c:cat>
          <c:val>
            <c:numRef>
              <c:f>'Funds analysis'!$C$10:$C$29</c:f>
              <c:numCache>
                <c:formatCode>#,##0</c:formatCode>
                <c:ptCount val="19"/>
                <c:pt idx="0">
                  <c:v>5708720</c:v>
                </c:pt>
                <c:pt idx="1">
                  <c:v>414423</c:v>
                </c:pt>
                <c:pt idx="2">
                  <c:v>3261179</c:v>
                </c:pt>
                <c:pt idx="3">
                  <c:v>2595052.61</c:v>
                </c:pt>
                <c:pt idx="4">
                  <c:v>292113</c:v>
                </c:pt>
                <c:pt idx="5">
                  <c:v>515029</c:v>
                </c:pt>
                <c:pt idx="6">
                  <c:v>197000</c:v>
                </c:pt>
                <c:pt idx="7">
                  <c:v>156270</c:v>
                </c:pt>
                <c:pt idx="8">
                  <c:v>400646</c:v>
                </c:pt>
                <c:pt idx="9">
                  <c:v>750000</c:v>
                </c:pt>
                <c:pt idx="10">
                  <c:v>17000</c:v>
                </c:pt>
                <c:pt idx="11">
                  <c:v>80400</c:v>
                </c:pt>
                <c:pt idx="12">
                  <c:v>43482</c:v>
                </c:pt>
                <c:pt idx="13">
                  <c:v>711973</c:v>
                </c:pt>
                <c:pt idx="14">
                  <c:v>615853</c:v>
                </c:pt>
                <c:pt idx="15">
                  <c:v>400000</c:v>
                </c:pt>
                <c:pt idx="16">
                  <c:v>73062</c:v>
                </c:pt>
                <c:pt idx="17">
                  <c:v>32800</c:v>
                </c:pt>
                <c:pt idx="18">
                  <c:v>399283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analysis!PivotTable3</c:name>
    <c:fmtId val="3"/>
  </c:pivotSource>
  <c:chart>
    <c:title>
      <c:tx>
        <c:rich>
          <a:bodyPr/>
          <a:lstStyle/>
          <a:p>
            <a:pPr>
              <a:defRPr sz="1400"/>
            </a:pPr>
            <a:r>
              <a:rPr lang="en-US" sz="1400"/>
              <a:t>FUNDS REPARTITION BY SUB-SECTOR</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6.8367719857802605E-3"/>
              <c:y val="-0.18528857791739767"/>
            </c:manualLayout>
          </c:layou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5.1789407714310023E-2"/>
              <c:y val="-3.4154288952517081E-3"/>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3"/>
        <c:dLbl>
          <c:idx val="0"/>
          <c:layout>
            <c:manualLayout>
              <c:x val="-0.23264034794902508"/>
              <c:y val="-2.0951518134096875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4"/>
        <c:dLbl>
          <c:idx val="0"/>
          <c:layout>
            <c:manualLayout>
              <c:x val="-2.5536879585812373E-2"/>
              <c:y val="-4.3686620138391793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1789407714310023E-2"/>
              <c:y val="-3.4154288952517081E-3"/>
            </c:manualLayout>
          </c:layout>
          <c:spPr>
            <a:noFill/>
            <a:ln>
              <a:noFill/>
            </a:ln>
            <a:effectLs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2652030784287549"/>
              <c:y val="-0.18303412589143458"/>
            </c:manualLayout>
          </c:layout>
          <c:spPr>
            <a:noFill/>
            <a:ln>
              <a:noFill/>
            </a:ln>
            <a:effectLs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2.5536879585812373E-2"/>
              <c:y val="-4.3686620138391793E-2"/>
            </c:manualLayout>
          </c:layout>
          <c:spPr>
            <a:noFill/>
            <a:ln>
              <a:noFill/>
            </a:ln>
            <a:effectLs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pie3DChart>
        <c:varyColors val="1"/>
        <c:ser>
          <c:idx val="0"/>
          <c:order val="0"/>
          <c:tx>
            <c:strRef>
              <c:f>'Funds analysis'!$C$149</c:f>
              <c:strCache>
                <c:ptCount val="1"/>
                <c:pt idx="0">
                  <c:v>Total</c:v>
                </c:pt>
              </c:strCache>
            </c:strRef>
          </c:tx>
          <c:explosion val="25"/>
          <c:dLbls>
            <c:dLbl>
              <c:idx val="0"/>
              <c:layout>
                <c:manualLayout>
                  <c:x val="5.1789407714310023E-2"/>
                  <c:y val="-3.4154288952517081E-3"/>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2652030784287549"/>
                  <c:y val="-0.1830341258914345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2.5536879585812373E-2"/>
                  <c:y val="-4.3686620138391793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a:lstStyle/>
              <a:p>
                <a:pPr>
                  <a:defRPr/>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'Funds analysis'!$B$150:$B$152</c:f>
              <c:strCache>
                <c:ptCount val="3"/>
                <c:pt idx="0">
                  <c:v>Average of Approximate % of fund dedicated to sanitation</c:v>
                </c:pt>
                <c:pt idx="1">
                  <c:v>Average of Approximate % fund dedicated to Water access</c:v>
                </c:pt>
                <c:pt idx="2">
                  <c:v>Average of Approximate % of fund dedicated to HP</c:v>
                </c:pt>
              </c:strCache>
            </c:strRef>
          </c:cat>
          <c:val>
            <c:numRef>
              <c:f>'Funds analysis'!$C$150:$C$152</c:f>
              <c:numCache>
                <c:formatCode>0%</c:formatCode>
                <c:ptCount val="3"/>
                <c:pt idx="0">
                  <c:v>0.33180777329607059</c:v>
                </c:pt>
                <c:pt idx="1">
                  <c:v>0.29106260910210568</c:v>
                </c:pt>
                <c:pt idx="2">
                  <c:v>0.3594430250002022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analysis!PivotTable6</c:name>
    <c:fmtId val="2"/>
  </c:pivotSource>
  <c:chart>
    <c:title>
      <c:tx>
        <c:rich>
          <a:bodyPr/>
          <a:lstStyle/>
          <a:p>
            <a:pPr>
              <a:defRPr sz="1400"/>
            </a:pPr>
            <a:r>
              <a:rPr lang="en-US" sz="1400"/>
              <a:t>NB OF BENEFICIARIES PER SUB-SECTOR</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analysis'!$C$162:$C$163</c:f>
              <c:strCache>
                <c:ptCount val="1"/>
                <c:pt idx="0">
                  <c:v>2012</c:v>
                </c:pt>
              </c:strCache>
            </c:strRef>
          </c:tx>
          <c:invertIfNegative val="0"/>
          <c:cat>
            <c:strRef>
              <c:f>'Funds analysis'!$B$164:$B$166</c:f>
              <c:strCache>
                <c:ptCount val="3"/>
                <c:pt idx="0">
                  <c:v>Number of sanitation beneficiaries</c:v>
                </c:pt>
                <c:pt idx="1">
                  <c:v>Number of water access beneficiaries</c:v>
                </c:pt>
                <c:pt idx="2">
                  <c:v> Number of beneficiairies for HE</c:v>
                </c:pt>
              </c:strCache>
            </c:strRef>
          </c:cat>
          <c:val>
            <c:numRef>
              <c:f>'Funds analysis'!$C$164:$C$166</c:f>
              <c:numCache>
                <c:formatCode>0</c:formatCode>
                <c:ptCount val="3"/>
                <c:pt idx="0">
                  <c:v>273381</c:v>
                </c:pt>
                <c:pt idx="1">
                  <c:v>269017</c:v>
                </c:pt>
                <c:pt idx="2">
                  <c:v>292077</c:v>
                </c:pt>
              </c:numCache>
            </c:numRef>
          </c:val>
        </c:ser>
        <c:ser>
          <c:idx val="1"/>
          <c:order val="1"/>
          <c:tx>
            <c:strRef>
              <c:f>'Funds analysis'!$D$162:$D$163</c:f>
              <c:strCache>
                <c:ptCount val="1"/>
                <c:pt idx="0">
                  <c:v>2013</c:v>
                </c:pt>
              </c:strCache>
            </c:strRef>
          </c:tx>
          <c:invertIfNegative val="0"/>
          <c:cat>
            <c:strRef>
              <c:f>'Funds analysis'!$B$164:$B$166</c:f>
              <c:strCache>
                <c:ptCount val="3"/>
                <c:pt idx="0">
                  <c:v>Number of sanitation beneficiaries</c:v>
                </c:pt>
                <c:pt idx="1">
                  <c:v>Number of water access beneficiaries</c:v>
                </c:pt>
                <c:pt idx="2">
                  <c:v> Number of beneficiairies for HE</c:v>
                </c:pt>
              </c:strCache>
            </c:strRef>
          </c:cat>
          <c:val>
            <c:numRef>
              <c:f>'Funds analysis'!$D$164:$D$166</c:f>
              <c:numCache>
                <c:formatCode>0</c:formatCode>
                <c:ptCount val="3"/>
                <c:pt idx="0">
                  <c:v>57928</c:v>
                </c:pt>
                <c:pt idx="1">
                  <c:v>72891</c:v>
                </c:pt>
                <c:pt idx="2">
                  <c:v>79187</c:v>
                </c:pt>
              </c:numCache>
            </c:numRef>
          </c:val>
        </c:ser>
        <c:ser>
          <c:idx val="2"/>
          <c:order val="2"/>
          <c:tx>
            <c:strRef>
              <c:f>'Funds analysis'!$E$162:$E$163</c:f>
              <c:strCache>
                <c:ptCount val="1"/>
                <c:pt idx="0">
                  <c:v>2014</c:v>
                </c:pt>
              </c:strCache>
            </c:strRef>
          </c:tx>
          <c:invertIfNegative val="0"/>
          <c:cat>
            <c:strRef>
              <c:f>'Funds analysis'!$B$164:$B$166</c:f>
              <c:strCache>
                <c:ptCount val="3"/>
                <c:pt idx="0">
                  <c:v>Number of sanitation beneficiaries</c:v>
                </c:pt>
                <c:pt idx="1">
                  <c:v>Number of water access beneficiaries</c:v>
                </c:pt>
                <c:pt idx="2">
                  <c:v> Number of beneficiairies for HE</c:v>
                </c:pt>
              </c:strCache>
            </c:strRef>
          </c:cat>
          <c:val>
            <c:numRef>
              <c:f>'Funds analysis'!$E$164:$E$166</c:f>
              <c:numCache>
                <c:formatCode>0</c:formatCode>
                <c:ptCount val="3"/>
                <c:pt idx="0">
                  <c:v>125315</c:v>
                </c:pt>
                <c:pt idx="1">
                  <c:v>139508</c:v>
                </c:pt>
                <c:pt idx="2">
                  <c:v>142006</c:v>
                </c:pt>
              </c:numCache>
            </c:numRef>
          </c:val>
        </c:ser>
        <c:ser>
          <c:idx val="3"/>
          <c:order val="3"/>
          <c:tx>
            <c:strRef>
              <c:f>'Funds analysis'!$F$162:$F$163</c:f>
              <c:strCache>
                <c:ptCount val="1"/>
                <c:pt idx="0">
                  <c:v>2015</c:v>
                </c:pt>
              </c:strCache>
            </c:strRef>
          </c:tx>
          <c:invertIfNegative val="0"/>
          <c:cat>
            <c:strRef>
              <c:f>'Funds analysis'!$B$164:$B$166</c:f>
              <c:strCache>
                <c:ptCount val="3"/>
                <c:pt idx="0">
                  <c:v>Number of sanitation beneficiaries</c:v>
                </c:pt>
                <c:pt idx="1">
                  <c:v>Number of water access beneficiaries</c:v>
                </c:pt>
                <c:pt idx="2">
                  <c:v> Number of beneficiairies for HE</c:v>
                </c:pt>
              </c:strCache>
            </c:strRef>
          </c:cat>
          <c:val>
            <c:numRef>
              <c:f>'Funds analysis'!$F$164:$F$166</c:f>
              <c:numCache>
                <c:formatCode>0</c:formatCode>
                <c:ptCount val="3"/>
                <c:pt idx="0">
                  <c:v>68704</c:v>
                </c:pt>
                <c:pt idx="1">
                  <c:v>58742</c:v>
                </c:pt>
                <c:pt idx="2">
                  <c:v>76366</c:v>
                </c:pt>
              </c:numCache>
            </c:numRef>
          </c:val>
        </c:ser>
        <c:dLbls>
          <c:showLegendKey val="0"/>
          <c:showVal val="0"/>
          <c:showCatName val="0"/>
          <c:showSerName val="0"/>
          <c:showPercent val="0"/>
          <c:showBubbleSize val="0"/>
        </c:dLbls>
        <c:gapWidth val="150"/>
        <c:shape val="box"/>
        <c:axId val="583289656"/>
        <c:axId val="583290048"/>
        <c:axId val="0"/>
      </c:bar3DChart>
      <c:catAx>
        <c:axId val="583289656"/>
        <c:scaling>
          <c:orientation val="minMax"/>
        </c:scaling>
        <c:delete val="0"/>
        <c:axPos val="b"/>
        <c:numFmt formatCode="General" sourceLinked="0"/>
        <c:majorTickMark val="out"/>
        <c:minorTickMark val="none"/>
        <c:tickLblPos val="nextTo"/>
        <c:crossAx val="583290048"/>
        <c:crosses val="autoZero"/>
        <c:auto val="1"/>
        <c:lblAlgn val="ctr"/>
        <c:lblOffset val="100"/>
        <c:noMultiLvlLbl val="0"/>
      </c:catAx>
      <c:valAx>
        <c:axId val="583290048"/>
        <c:scaling>
          <c:orientation val="minMax"/>
        </c:scaling>
        <c:delete val="0"/>
        <c:axPos val="l"/>
        <c:majorGridlines/>
        <c:numFmt formatCode="0" sourceLinked="1"/>
        <c:majorTickMark val="out"/>
        <c:minorTickMark val="none"/>
        <c:tickLblPos val="nextTo"/>
        <c:crossAx val="583289656"/>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analysis!PivotTable7</c:name>
    <c:fmtId val="3"/>
  </c:pivotSource>
  <c:chart>
    <c:title>
      <c:tx>
        <c:rich>
          <a:bodyPr/>
          <a:lstStyle/>
          <a:p>
            <a:pPr>
              <a:defRPr sz="1400"/>
            </a:pPr>
            <a:r>
              <a:rPr lang="en-US" sz="1400"/>
              <a:t>NB OF BENEFICIARIES</a:t>
            </a:r>
            <a:r>
              <a:rPr lang="en-US" sz="1400" baseline="0"/>
              <a:t> IN HOST COMMUNITIES</a:t>
            </a:r>
            <a:endParaRPr lang="en-US" sz="14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bar3DChart>
        <c:barDir val="col"/>
        <c:grouping val="clustered"/>
        <c:varyColors val="0"/>
        <c:ser>
          <c:idx val="0"/>
          <c:order val="0"/>
          <c:tx>
            <c:strRef>
              <c:f>'Funds analysis'!$C$178:$C$179</c:f>
              <c:strCache>
                <c:ptCount val="1"/>
                <c:pt idx="0">
                  <c:v>2012</c:v>
                </c:pt>
              </c:strCache>
            </c:strRef>
          </c:tx>
          <c:invertIfNegative val="0"/>
          <c:cat>
            <c:strRef>
              <c:f>'Funds analysis'!$B$180:$B$182</c:f>
              <c:strCache>
                <c:ptCount val="3"/>
                <c:pt idx="0">
                  <c:v> Nb of sanitation beneficiaries</c:v>
                </c:pt>
                <c:pt idx="1">
                  <c:v>Nb of water access beneficiaries</c:v>
                </c:pt>
                <c:pt idx="2">
                  <c:v>Nb of beneficiairies for HE in host</c:v>
                </c:pt>
              </c:strCache>
            </c:strRef>
          </c:cat>
          <c:val>
            <c:numRef>
              <c:f>'Funds analysis'!$C$180:$C$182</c:f>
              <c:numCache>
                <c:formatCode>0</c:formatCode>
                <c:ptCount val="3"/>
                <c:pt idx="0">
                  <c:v>2500</c:v>
                </c:pt>
                <c:pt idx="1">
                  <c:v>2500</c:v>
                </c:pt>
                <c:pt idx="2">
                  <c:v>2500</c:v>
                </c:pt>
              </c:numCache>
            </c:numRef>
          </c:val>
        </c:ser>
        <c:ser>
          <c:idx val="1"/>
          <c:order val="1"/>
          <c:tx>
            <c:strRef>
              <c:f>'Funds analysis'!$D$178:$D$179</c:f>
              <c:strCache>
                <c:ptCount val="1"/>
                <c:pt idx="0">
                  <c:v>2013</c:v>
                </c:pt>
              </c:strCache>
            </c:strRef>
          </c:tx>
          <c:invertIfNegative val="0"/>
          <c:cat>
            <c:strRef>
              <c:f>'Funds analysis'!$B$180:$B$182</c:f>
              <c:strCache>
                <c:ptCount val="3"/>
                <c:pt idx="0">
                  <c:v> Nb of sanitation beneficiaries</c:v>
                </c:pt>
                <c:pt idx="1">
                  <c:v>Nb of water access beneficiaries</c:v>
                </c:pt>
                <c:pt idx="2">
                  <c:v>Nb of beneficiairies for HE in host</c:v>
                </c:pt>
              </c:strCache>
            </c:strRef>
          </c:cat>
          <c:val>
            <c:numRef>
              <c:f>'Funds analysis'!$D$180:$D$182</c:f>
              <c:numCache>
                <c:formatCode>0</c:formatCode>
                <c:ptCount val="3"/>
                <c:pt idx="0">
                  <c:v>22000</c:v>
                </c:pt>
                <c:pt idx="1">
                  <c:v>8788</c:v>
                </c:pt>
                <c:pt idx="2">
                  <c:v>30788</c:v>
                </c:pt>
              </c:numCache>
            </c:numRef>
          </c:val>
        </c:ser>
        <c:ser>
          <c:idx val="2"/>
          <c:order val="2"/>
          <c:tx>
            <c:strRef>
              <c:f>'Funds analysis'!$E$178:$E$179</c:f>
              <c:strCache>
                <c:ptCount val="1"/>
                <c:pt idx="0">
                  <c:v>2014</c:v>
                </c:pt>
              </c:strCache>
            </c:strRef>
          </c:tx>
          <c:invertIfNegative val="0"/>
          <c:cat>
            <c:strRef>
              <c:f>'Funds analysis'!$B$180:$B$182</c:f>
              <c:strCache>
                <c:ptCount val="3"/>
                <c:pt idx="0">
                  <c:v> Nb of sanitation beneficiaries</c:v>
                </c:pt>
                <c:pt idx="1">
                  <c:v>Nb of water access beneficiaries</c:v>
                </c:pt>
                <c:pt idx="2">
                  <c:v>Nb of beneficiairies for HE in host</c:v>
                </c:pt>
              </c:strCache>
            </c:strRef>
          </c:cat>
          <c:val>
            <c:numRef>
              <c:f>'Funds analysis'!$E$180:$E$182</c:f>
              <c:numCache>
                <c:formatCode>0</c:formatCode>
                <c:ptCount val="3"/>
                <c:pt idx="0">
                  <c:v>0</c:v>
                </c:pt>
                <c:pt idx="1">
                  <c:v>0</c:v>
                </c:pt>
                <c:pt idx="2">
                  <c:v>2483</c:v>
                </c:pt>
              </c:numCache>
            </c:numRef>
          </c:val>
        </c:ser>
        <c:ser>
          <c:idx val="3"/>
          <c:order val="3"/>
          <c:tx>
            <c:strRef>
              <c:f>'Funds analysis'!$F$178:$F$179</c:f>
              <c:strCache>
                <c:ptCount val="1"/>
                <c:pt idx="0">
                  <c:v>2015</c:v>
                </c:pt>
              </c:strCache>
            </c:strRef>
          </c:tx>
          <c:invertIfNegative val="0"/>
          <c:cat>
            <c:strRef>
              <c:f>'Funds analysis'!$B$180:$B$182</c:f>
              <c:strCache>
                <c:ptCount val="3"/>
                <c:pt idx="0">
                  <c:v> Nb of sanitation beneficiaries</c:v>
                </c:pt>
                <c:pt idx="1">
                  <c:v>Nb of water access beneficiaries</c:v>
                </c:pt>
                <c:pt idx="2">
                  <c:v>Nb of beneficiairies for HE in host</c:v>
                </c:pt>
              </c:strCache>
            </c:strRef>
          </c:cat>
          <c:val>
            <c:numRef>
              <c:f>'Funds analysis'!$F$180:$F$182</c:f>
              <c:numCache>
                <c:formatCode>0</c:formatCode>
                <c:ptCount val="3"/>
                <c:pt idx="0">
                  <c:v>1910</c:v>
                </c:pt>
                <c:pt idx="1">
                  <c:v>1910</c:v>
                </c:pt>
                <c:pt idx="2">
                  <c:v>2910</c:v>
                </c:pt>
              </c:numCache>
            </c:numRef>
          </c:val>
        </c:ser>
        <c:dLbls>
          <c:showLegendKey val="0"/>
          <c:showVal val="0"/>
          <c:showCatName val="0"/>
          <c:showSerName val="0"/>
          <c:showPercent val="0"/>
          <c:showBubbleSize val="0"/>
        </c:dLbls>
        <c:gapWidth val="150"/>
        <c:shape val="box"/>
        <c:axId val="583290832"/>
        <c:axId val="583291224"/>
        <c:axId val="0"/>
      </c:bar3DChart>
      <c:catAx>
        <c:axId val="583290832"/>
        <c:scaling>
          <c:orientation val="minMax"/>
        </c:scaling>
        <c:delete val="0"/>
        <c:axPos val="b"/>
        <c:numFmt formatCode="General" sourceLinked="0"/>
        <c:majorTickMark val="out"/>
        <c:minorTickMark val="none"/>
        <c:tickLblPos val="nextTo"/>
        <c:crossAx val="583291224"/>
        <c:crosses val="autoZero"/>
        <c:auto val="1"/>
        <c:lblAlgn val="ctr"/>
        <c:lblOffset val="100"/>
        <c:noMultiLvlLbl val="0"/>
      </c:catAx>
      <c:valAx>
        <c:axId val="583291224"/>
        <c:scaling>
          <c:orientation val="minMax"/>
        </c:scaling>
        <c:delete val="0"/>
        <c:axPos val="l"/>
        <c:majorGridlines/>
        <c:numFmt formatCode="0" sourceLinked="1"/>
        <c:majorTickMark val="out"/>
        <c:minorTickMark val="none"/>
        <c:tickLblPos val="nextTo"/>
        <c:crossAx val="583290832"/>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analysis!PivotTable9</c:name>
    <c:fmtId val="18"/>
  </c:pivotSource>
  <c:chart>
    <c:title>
      <c:tx>
        <c:rich>
          <a:bodyPr/>
          <a:lstStyle/>
          <a:p>
            <a:pPr>
              <a:defRPr sz="1400"/>
            </a:pPr>
            <a:r>
              <a:rPr lang="en-US" sz="1400"/>
              <a:t>GEOGRAPHIC FUND REPARTITION</a:t>
            </a:r>
          </a:p>
        </c:rich>
      </c:tx>
      <c:layout>
        <c:manualLayout>
          <c:xMode val="edge"/>
          <c:yMode val="edge"/>
          <c:x val="0.29850830967484726"/>
          <c:y val="6.746031746031745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11104427968349607"/>
              <c:y val="0.16601674790651169"/>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1104427968349607"/>
              <c:y val="0.16601674790651169"/>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6.9129453448780326E-2"/>
          <c:y val="0.24709286339207598"/>
          <c:w val="0.52417359288422283"/>
          <c:h val="0.75199107425401612"/>
        </c:manualLayout>
      </c:layout>
      <c:pie3DChart>
        <c:varyColors val="1"/>
        <c:ser>
          <c:idx val="0"/>
          <c:order val="0"/>
          <c:tx>
            <c:strRef>
              <c:f>'Funds analysis'!$C$117</c:f>
              <c:strCache>
                <c:ptCount val="1"/>
                <c:pt idx="0">
                  <c:v>Total</c:v>
                </c:pt>
              </c:strCache>
            </c:strRef>
          </c:tx>
          <c:dPt>
            <c:idx val="0"/>
            <c:bubble3D val="0"/>
            <c:explosion val="14"/>
          </c:dPt>
          <c:dLbls>
            <c:dLbl>
              <c:idx val="0"/>
              <c:layout>
                <c:manualLayout>
                  <c:x val="0.11104427968349607"/>
                  <c:y val="0.16601674790651169"/>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'Funds analysis'!$B$118:$B$119</c:f>
              <c:strCache>
                <c:ptCount val="2"/>
                <c:pt idx="0">
                  <c:v>Average of Approximative % of NGCA beneficiaries</c:v>
                </c:pt>
                <c:pt idx="1">
                  <c:v>Average of Approximative % of GCA beneficiaries</c:v>
                </c:pt>
              </c:strCache>
            </c:strRef>
          </c:cat>
          <c:val>
            <c:numRef>
              <c:f>'Funds analysis'!$C$118:$C$119</c:f>
              <c:numCache>
                <c:formatCode>0%</c:formatCode>
                <c:ptCount val="2"/>
                <c:pt idx="0">
                  <c:v>0.43716989906560694</c:v>
                </c:pt>
                <c:pt idx="1">
                  <c:v>0.59978328208095799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analysis!PivotTable4</c:name>
    <c:fmtId val="11"/>
  </c:pivotSource>
  <c:chart>
    <c:title>
      <c:tx>
        <c:rich>
          <a:bodyPr/>
          <a:lstStyle/>
          <a:p>
            <a:pPr>
              <a:defRPr sz="1400"/>
            </a:pPr>
            <a:r>
              <a:rPr lang="en-US" sz="1400"/>
              <a:t>FUND RECEIVED PER YEAR (US$)</a:t>
            </a:r>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analysis'!$C$56:$C$57</c:f>
              <c:strCache>
                <c:ptCount val="1"/>
                <c:pt idx="0">
                  <c:v>Total</c:v>
                </c:pt>
              </c:strCache>
            </c:strRef>
          </c:tx>
          <c:invertIfNegative val="0"/>
          <c:cat>
            <c:strRef>
              <c:f>'Funds analysis'!$B$58:$B$62</c:f>
              <c:strCache>
                <c:ptCount val="4"/>
                <c:pt idx="0">
                  <c:v>2012</c:v>
                </c:pt>
                <c:pt idx="1">
                  <c:v>2013</c:v>
                </c:pt>
                <c:pt idx="2">
                  <c:v>2014</c:v>
                </c:pt>
                <c:pt idx="3">
                  <c:v>2015</c:v>
                </c:pt>
              </c:strCache>
            </c:strRef>
          </c:cat>
          <c:val>
            <c:numRef>
              <c:f>'Funds analysis'!$C$58:$C$62</c:f>
              <c:numCache>
                <c:formatCode>#,##0</c:formatCode>
                <c:ptCount val="4"/>
                <c:pt idx="0">
                  <c:v>3335112.61</c:v>
                </c:pt>
                <c:pt idx="1">
                  <c:v>4596720</c:v>
                </c:pt>
                <c:pt idx="2">
                  <c:v>4695578</c:v>
                </c:pt>
                <c:pt idx="3">
                  <c:v>4036875</c:v>
                </c:pt>
              </c:numCache>
            </c:numRef>
          </c:val>
        </c:ser>
        <c:dLbls>
          <c:showLegendKey val="0"/>
          <c:showVal val="0"/>
          <c:showCatName val="0"/>
          <c:showSerName val="0"/>
          <c:showPercent val="0"/>
          <c:showBubbleSize val="0"/>
        </c:dLbls>
        <c:gapWidth val="150"/>
        <c:shape val="box"/>
        <c:axId val="579683448"/>
        <c:axId val="579683840"/>
        <c:axId val="0"/>
      </c:bar3DChart>
      <c:catAx>
        <c:axId val="579683448"/>
        <c:scaling>
          <c:orientation val="minMax"/>
        </c:scaling>
        <c:delete val="0"/>
        <c:axPos val="b"/>
        <c:numFmt formatCode="General" sourceLinked="1"/>
        <c:majorTickMark val="out"/>
        <c:minorTickMark val="none"/>
        <c:tickLblPos val="nextTo"/>
        <c:txPr>
          <a:bodyPr/>
          <a:lstStyle/>
          <a:p>
            <a:pPr>
              <a:defRPr sz="1000"/>
            </a:pPr>
            <a:endParaRPr lang="en-US"/>
          </a:p>
        </c:txPr>
        <c:crossAx val="579683840"/>
        <c:crosses val="autoZero"/>
        <c:auto val="0"/>
        <c:lblAlgn val="ctr"/>
        <c:lblOffset val="100"/>
        <c:noMultiLvlLbl val="0"/>
      </c:catAx>
      <c:valAx>
        <c:axId val="579683840"/>
        <c:scaling>
          <c:orientation val="minMax"/>
          <c:max val="6000000"/>
        </c:scaling>
        <c:delete val="0"/>
        <c:axPos val="l"/>
        <c:majorGridlines/>
        <c:numFmt formatCode="#,##0" sourceLinked="1"/>
        <c:majorTickMark val="out"/>
        <c:minorTickMark val="none"/>
        <c:tickLblPos val="nextTo"/>
        <c:txPr>
          <a:bodyPr/>
          <a:lstStyle/>
          <a:p>
            <a:pPr>
              <a:defRPr sz="1000"/>
            </a:pPr>
            <a:endParaRPr lang="en-US"/>
          </a:p>
        </c:txPr>
        <c:crossAx val="579683448"/>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analysis!PivotTable5</c:name>
    <c:fmtId val="8"/>
  </c:pivotSource>
  <c:chart>
    <c:title>
      <c:tx>
        <c:rich>
          <a:bodyPr/>
          <a:lstStyle/>
          <a:p>
            <a:pPr>
              <a:defRPr sz="1400"/>
            </a:pPr>
            <a:r>
              <a:rPr lang="en-US" sz="1400"/>
              <a:t>APPROXIMATE FUND USE/ENGAGED PER YEAR</a:t>
            </a:r>
            <a:r>
              <a:rPr lang="en-US" sz="1400" baseline="0"/>
              <a:t>(US$)</a:t>
            </a:r>
            <a:endParaRPr lang="en-US" sz="1400"/>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analysis'!$C$69:$C$70</c:f>
              <c:strCache>
                <c:ptCount val="1"/>
                <c:pt idx="0">
                  <c:v>ECHO</c:v>
                </c:pt>
              </c:strCache>
            </c:strRef>
          </c:tx>
          <c:invertIfNegative val="0"/>
          <c:cat>
            <c:strRef>
              <c:f>'Funds analysis'!$B$71:$B$74</c:f>
              <c:strCache>
                <c:ptCount val="4"/>
                <c:pt idx="0">
                  <c:v>Before 2014</c:v>
                </c:pt>
                <c:pt idx="1">
                  <c:v>2014</c:v>
                </c:pt>
                <c:pt idx="2">
                  <c:v>2015</c:v>
                </c:pt>
                <c:pt idx="3">
                  <c:v>2016</c:v>
                </c:pt>
              </c:strCache>
            </c:strRef>
          </c:cat>
          <c:val>
            <c:numRef>
              <c:f>'Funds analysis'!$C$71:$C$74</c:f>
              <c:numCache>
                <c:formatCode>#,##0</c:formatCode>
                <c:ptCount val="4"/>
                <c:pt idx="0">
                  <c:v>2174530.0636635181</c:v>
                </c:pt>
                <c:pt idx="1">
                  <c:v>1303624.0807537101</c:v>
                </c:pt>
                <c:pt idx="2">
                  <c:v>1487275.0303130643</c:v>
                </c:pt>
                <c:pt idx="3">
                  <c:v>743290.82526970748</c:v>
                </c:pt>
              </c:numCache>
            </c:numRef>
          </c:val>
        </c:ser>
        <c:ser>
          <c:idx val="1"/>
          <c:order val="1"/>
          <c:tx>
            <c:strRef>
              <c:f>'Funds analysis'!$D$69:$D$70</c:f>
              <c:strCache>
                <c:ptCount val="1"/>
                <c:pt idx="0">
                  <c:v>Germany</c:v>
                </c:pt>
              </c:strCache>
            </c:strRef>
          </c:tx>
          <c:invertIfNegative val="0"/>
          <c:cat>
            <c:strRef>
              <c:f>'Funds analysis'!$B$71:$B$74</c:f>
              <c:strCache>
                <c:ptCount val="4"/>
                <c:pt idx="0">
                  <c:v>Before 2014</c:v>
                </c:pt>
                <c:pt idx="1">
                  <c:v>2014</c:v>
                </c:pt>
                <c:pt idx="2">
                  <c:v>2015</c:v>
                </c:pt>
                <c:pt idx="3">
                  <c:v>2016</c:v>
                </c:pt>
              </c:strCache>
            </c:strRef>
          </c:cat>
          <c:val>
            <c:numRef>
              <c:f>'Funds analysis'!$D$71:$D$74</c:f>
              <c:numCache>
                <c:formatCode>#,##0</c:formatCode>
                <c:ptCount val="4"/>
                <c:pt idx="0">
                  <c:v>338770</c:v>
                </c:pt>
                <c:pt idx="1">
                  <c:v>0</c:v>
                </c:pt>
                <c:pt idx="2">
                  <c:v>75653</c:v>
                </c:pt>
                <c:pt idx="3">
                  <c:v>0</c:v>
                </c:pt>
              </c:numCache>
            </c:numRef>
          </c:val>
        </c:ser>
        <c:ser>
          <c:idx val="2"/>
          <c:order val="2"/>
          <c:tx>
            <c:strRef>
              <c:f>'Funds analysis'!$E$69:$E$70</c:f>
              <c:strCache>
                <c:ptCount val="1"/>
                <c:pt idx="0">
                  <c:v>OFDA</c:v>
                </c:pt>
              </c:strCache>
            </c:strRef>
          </c:tx>
          <c:invertIfNegative val="0"/>
          <c:cat>
            <c:strRef>
              <c:f>'Funds analysis'!$B$71:$B$74</c:f>
              <c:strCache>
                <c:ptCount val="4"/>
                <c:pt idx="0">
                  <c:v>Before 2014</c:v>
                </c:pt>
                <c:pt idx="1">
                  <c:v>2014</c:v>
                </c:pt>
                <c:pt idx="2">
                  <c:v>2015</c:v>
                </c:pt>
                <c:pt idx="3">
                  <c:v>2016</c:v>
                </c:pt>
              </c:strCache>
            </c:strRef>
          </c:cat>
          <c:val>
            <c:numRef>
              <c:f>'Funds analysis'!$E$71:$E$74</c:f>
              <c:numCache>
                <c:formatCode>#,##0</c:formatCode>
                <c:ptCount val="4"/>
                <c:pt idx="0">
                  <c:v>1067394.5833333333</c:v>
                </c:pt>
                <c:pt idx="1">
                  <c:v>968695.31498302927</c:v>
                </c:pt>
                <c:pt idx="2">
                  <c:v>1012703.6182644019</c:v>
                </c:pt>
                <c:pt idx="3">
                  <c:v>212385.48341923562</c:v>
                </c:pt>
              </c:numCache>
            </c:numRef>
          </c:val>
        </c:ser>
        <c:ser>
          <c:idx val="3"/>
          <c:order val="3"/>
          <c:tx>
            <c:strRef>
              <c:f>'Funds analysis'!$F$69:$F$70</c:f>
              <c:strCache>
                <c:ptCount val="1"/>
                <c:pt idx="0">
                  <c:v>CERF</c:v>
                </c:pt>
              </c:strCache>
            </c:strRef>
          </c:tx>
          <c:invertIfNegative val="0"/>
          <c:cat>
            <c:strRef>
              <c:f>'Funds analysis'!$B$71:$B$74</c:f>
              <c:strCache>
                <c:ptCount val="4"/>
                <c:pt idx="0">
                  <c:v>Before 2014</c:v>
                </c:pt>
                <c:pt idx="1">
                  <c:v>2014</c:v>
                </c:pt>
                <c:pt idx="2">
                  <c:v>2015</c:v>
                </c:pt>
                <c:pt idx="3">
                  <c:v>2016</c:v>
                </c:pt>
              </c:strCache>
            </c:strRef>
          </c:cat>
          <c:val>
            <c:numRef>
              <c:f>'Funds analysis'!$F$71:$F$74</c:f>
              <c:numCache>
                <c:formatCode>#,##0</c:formatCode>
                <c:ptCount val="4"/>
                <c:pt idx="0">
                  <c:v>1172664.4566898956</c:v>
                </c:pt>
                <c:pt idx="1">
                  <c:v>1022388.1533101045</c:v>
                </c:pt>
                <c:pt idx="2">
                  <c:v>136231.88405797101</c:v>
                </c:pt>
                <c:pt idx="3">
                  <c:v>263768.11594202899</c:v>
                </c:pt>
              </c:numCache>
            </c:numRef>
          </c:val>
        </c:ser>
        <c:ser>
          <c:idx val="4"/>
          <c:order val="4"/>
          <c:tx>
            <c:strRef>
              <c:f>'Funds analysis'!$G$69:$G$70</c:f>
              <c:strCache>
                <c:ptCount val="1"/>
                <c:pt idx="0">
                  <c:v>Canada</c:v>
                </c:pt>
              </c:strCache>
            </c:strRef>
          </c:tx>
          <c:invertIfNegative val="0"/>
          <c:cat>
            <c:strRef>
              <c:f>'Funds analysis'!$B$71:$B$74</c:f>
              <c:strCache>
                <c:ptCount val="4"/>
                <c:pt idx="0">
                  <c:v>Before 2014</c:v>
                </c:pt>
                <c:pt idx="1">
                  <c:v>2014</c:v>
                </c:pt>
                <c:pt idx="2">
                  <c:v>2015</c:v>
                </c:pt>
                <c:pt idx="3">
                  <c:v>2016</c:v>
                </c:pt>
              </c:strCache>
            </c:strRef>
          </c:cat>
          <c:val>
            <c:numRef>
              <c:f>'Funds analysis'!$G$71:$G$74</c:f>
              <c:numCache>
                <c:formatCode>#,##0</c:formatCode>
                <c:ptCount val="4"/>
                <c:pt idx="0">
                  <c:v>292113</c:v>
                </c:pt>
                <c:pt idx="1">
                  <c:v>0</c:v>
                </c:pt>
                <c:pt idx="2">
                  <c:v>0</c:v>
                </c:pt>
                <c:pt idx="3">
                  <c:v>0</c:v>
                </c:pt>
              </c:numCache>
            </c:numRef>
          </c:val>
        </c:ser>
        <c:ser>
          <c:idx val="5"/>
          <c:order val="5"/>
          <c:tx>
            <c:strRef>
              <c:f>'Funds analysis'!$H$69:$H$70</c:f>
              <c:strCache>
                <c:ptCount val="1"/>
                <c:pt idx="0">
                  <c:v>Australian</c:v>
                </c:pt>
              </c:strCache>
            </c:strRef>
          </c:tx>
          <c:invertIfNegative val="0"/>
          <c:cat>
            <c:strRef>
              <c:f>'Funds analysis'!$B$71:$B$74</c:f>
              <c:strCache>
                <c:ptCount val="4"/>
                <c:pt idx="0">
                  <c:v>Before 2014</c:v>
                </c:pt>
                <c:pt idx="1">
                  <c:v>2014</c:v>
                </c:pt>
                <c:pt idx="2">
                  <c:v>2015</c:v>
                </c:pt>
                <c:pt idx="3">
                  <c:v>2016</c:v>
                </c:pt>
              </c:strCache>
            </c:strRef>
          </c:cat>
          <c:val>
            <c:numRef>
              <c:f>'Funds analysis'!$H$71:$H$74</c:f>
              <c:numCache>
                <c:formatCode>#,##0</c:formatCode>
                <c:ptCount val="4"/>
                <c:pt idx="0">
                  <c:v>414065.16519823787</c:v>
                </c:pt>
                <c:pt idx="1">
                  <c:v>100963.83480176212</c:v>
                </c:pt>
                <c:pt idx="2">
                  <c:v>0</c:v>
                </c:pt>
                <c:pt idx="3">
                  <c:v>0</c:v>
                </c:pt>
              </c:numCache>
            </c:numRef>
          </c:val>
        </c:ser>
        <c:ser>
          <c:idx val="6"/>
          <c:order val="6"/>
          <c:tx>
            <c:strRef>
              <c:f>'Funds analysis'!$I$69:$I$70</c:f>
              <c:strCache>
                <c:ptCount val="1"/>
                <c:pt idx="0">
                  <c:v>France</c:v>
                </c:pt>
              </c:strCache>
            </c:strRef>
          </c:tx>
          <c:invertIfNegative val="0"/>
          <c:cat>
            <c:strRef>
              <c:f>'Funds analysis'!$B$71:$B$74</c:f>
              <c:strCache>
                <c:ptCount val="4"/>
                <c:pt idx="0">
                  <c:v>Before 2014</c:v>
                </c:pt>
                <c:pt idx="1">
                  <c:v>2014</c:v>
                </c:pt>
                <c:pt idx="2">
                  <c:v>2015</c:v>
                </c:pt>
                <c:pt idx="3">
                  <c:v>2016</c:v>
                </c:pt>
              </c:strCache>
            </c:strRef>
          </c:cat>
          <c:val>
            <c:numRef>
              <c:f>'Funds analysis'!$I$71:$I$74</c:f>
              <c:numCache>
                <c:formatCode>#,##0</c:formatCode>
                <c:ptCount val="4"/>
                <c:pt idx="0">
                  <c:v>197000</c:v>
                </c:pt>
                <c:pt idx="1">
                  <c:v>0</c:v>
                </c:pt>
                <c:pt idx="2">
                  <c:v>0</c:v>
                </c:pt>
                <c:pt idx="3">
                  <c:v>0</c:v>
                </c:pt>
              </c:numCache>
            </c:numRef>
          </c:val>
        </c:ser>
        <c:ser>
          <c:idx val="7"/>
          <c:order val="7"/>
          <c:tx>
            <c:strRef>
              <c:f>'Funds analysis'!$J$69:$J$70</c:f>
              <c:strCache>
                <c:ptCount val="1"/>
                <c:pt idx="0">
                  <c:v>Sweden</c:v>
                </c:pt>
              </c:strCache>
            </c:strRef>
          </c:tx>
          <c:invertIfNegative val="0"/>
          <c:cat>
            <c:strRef>
              <c:f>'Funds analysis'!$B$71:$B$74</c:f>
              <c:strCache>
                <c:ptCount val="4"/>
                <c:pt idx="0">
                  <c:v>Before 2014</c:v>
                </c:pt>
                <c:pt idx="1">
                  <c:v>2014</c:v>
                </c:pt>
                <c:pt idx="2">
                  <c:v>2015</c:v>
                </c:pt>
                <c:pt idx="3">
                  <c:v>2016</c:v>
                </c:pt>
              </c:strCache>
            </c:strRef>
          </c:cat>
          <c:val>
            <c:numRef>
              <c:f>'Funds analysis'!$J$71:$J$74</c:f>
              <c:numCache>
                <c:formatCode>#,##0</c:formatCode>
                <c:ptCount val="4"/>
                <c:pt idx="0">
                  <c:v>106270</c:v>
                </c:pt>
                <c:pt idx="1">
                  <c:v>50000</c:v>
                </c:pt>
                <c:pt idx="2">
                  <c:v>0</c:v>
                </c:pt>
                <c:pt idx="3">
                  <c:v>0</c:v>
                </c:pt>
              </c:numCache>
            </c:numRef>
          </c:val>
        </c:ser>
        <c:ser>
          <c:idx val="8"/>
          <c:order val="8"/>
          <c:tx>
            <c:strRef>
              <c:f>'Funds analysis'!$K$69:$K$70</c:f>
              <c:strCache>
                <c:ptCount val="1"/>
                <c:pt idx="0">
                  <c:v>CIDA</c:v>
                </c:pt>
              </c:strCache>
            </c:strRef>
          </c:tx>
          <c:invertIfNegative val="0"/>
          <c:cat>
            <c:strRef>
              <c:f>'Funds analysis'!$B$71:$B$74</c:f>
              <c:strCache>
                <c:ptCount val="4"/>
                <c:pt idx="0">
                  <c:v>Before 2014</c:v>
                </c:pt>
                <c:pt idx="1">
                  <c:v>2014</c:v>
                </c:pt>
                <c:pt idx="2">
                  <c:v>2015</c:v>
                </c:pt>
                <c:pt idx="3">
                  <c:v>2016</c:v>
                </c:pt>
              </c:strCache>
            </c:strRef>
          </c:cat>
          <c:val>
            <c:numRef>
              <c:f>'Funds analysis'!$K$71:$K$74</c:f>
              <c:numCache>
                <c:formatCode>#,##0</c:formatCode>
                <c:ptCount val="4"/>
                <c:pt idx="0">
                  <c:v>153948.79955947137</c:v>
                </c:pt>
                <c:pt idx="1">
                  <c:v>37538.200440528635</c:v>
                </c:pt>
                <c:pt idx="2">
                  <c:v>95767.775735294112</c:v>
                </c:pt>
                <c:pt idx="3">
                  <c:v>113391.22426470589</c:v>
                </c:pt>
              </c:numCache>
            </c:numRef>
          </c:val>
        </c:ser>
        <c:ser>
          <c:idx val="9"/>
          <c:order val="9"/>
          <c:tx>
            <c:strRef>
              <c:f>'Funds analysis'!$L$69:$L$70</c:f>
              <c:strCache>
                <c:ptCount val="1"/>
                <c:pt idx="0">
                  <c:v>Japan</c:v>
                </c:pt>
              </c:strCache>
            </c:strRef>
          </c:tx>
          <c:invertIfNegative val="0"/>
          <c:cat>
            <c:strRef>
              <c:f>'Funds analysis'!$B$71:$B$74</c:f>
              <c:strCache>
                <c:ptCount val="4"/>
                <c:pt idx="0">
                  <c:v>Before 2014</c:v>
                </c:pt>
                <c:pt idx="1">
                  <c:v>2014</c:v>
                </c:pt>
                <c:pt idx="2">
                  <c:v>2015</c:v>
                </c:pt>
                <c:pt idx="3">
                  <c:v>2016</c:v>
                </c:pt>
              </c:strCache>
            </c:strRef>
          </c:cat>
          <c:val>
            <c:numRef>
              <c:f>'Funds analysis'!$L$71:$L$74</c:f>
              <c:numCache>
                <c:formatCode>#,##0</c:formatCode>
                <c:ptCount val="4"/>
                <c:pt idx="0">
                  <c:v>0</c:v>
                </c:pt>
                <c:pt idx="1">
                  <c:v>564560.43956043955</c:v>
                </c:pt>
                <c:pt idx="2">
                  <c:v>185439.56043956045</c:v>
                </c:pt>
                <c:pt idx="3">
                  <c:v>0</c:v>
                </c:pt>
              </c:numCache>
            </c:numRef>
          </c:val>
        </c:ser>
        <c:ser>
          <c:idx val="10"/>
          <c:order val="10"/>
          <c:tx>
            <c:strRef>
              <c:f>'Funds analysis'!$M$69:$M$70</c:f>
              <c:strCache>
                <c:ptCount val="1"/>
                <c:pt idx="0">
                  <c:v>SC seed funding</c:v>
                </c:pt>
              </c:strCache>
            </c:strRef>
          </c:tx>
          <c:invertIfNegative val="0"/>
          <c:cat>
            <c:strRef>
              <c:f>'Funds analysis'!$B$71:$B$74</c:f>
              <c:strCache>
                <c:ptCount val="4"/>
                <c:pt idx="0">
                  <c:v>Before 2014</c:v>
                </c:pt>
                <c:pt idx="1">
                  <c:v>2014</c:v>
                </c:pt>
                <c:pt idx="2">
                  <c:v>2015</c:v>
                </c:pt>
                <c:pt idx="3">
                  <c:v>2016</c:v>
                </c:pt>
              </c:strCache>
            </c:strRef>
          </c:cat>
          <c:val>
            <c:numRef>
              <c:f>'Funds analysis'!$M$71:$M$74</c:f>
              <c:numCache>
                <c:formatCode>#,##0</c:formatCode>
                <c:ptCount val="4"/>
                <c:pt idx="0">
                  <c:v>0</c:v>
                </c:pt>
                <c:pt idx="1">
                  <c:v>17000</c:v>
                </c:pt>
                <c:pt idx="2">
                  <c:v>0</c:v>
                </c:pt>
                <c:pt idx="3">
                  <c:v>0</c:v>
                </c:pt>
              </c:numCache>
            </c:numRef>
          </c:val>
        </c:ser>
        <c:ser>
          <c:idx val="11"/>
          <c:order val="11"/>
          <c:tx>
            <c:strRef>
              <c:f>'Funds analysis'!$N$69:$N$70</c:f>
              <c:strCache>
                <c:ptCount val="1"/>
                <c:pt idx="0">
                  <c:v>SIDA</c:v>
                </c:pt>
              </c:strCache>
            </c:strRef>
          </c:tx>
          <c:invertIfNegative val="0"/>
          <c:cat>
            <c:strRef>
              <c:f>'Funds analysis'!$B$71:$B$74</c:f>
              <c:strCache>
                <c:ptCount val="4"/>
                <c:pt idx="0">
                  <c:v>Before 2014</c:v>
                </c:pt>
                <c:pt idx="1">
                  <c:v>2014</c:v>
                </c:pt>
                <c:pt idx="2">
                  <c:v>2015</c:v>
                </c:pt>
                <c:pt idx="3">
                  <c:v>2016</c:v>
                </c:pt>
              </c:strCache>
            </c:strRef>
          </c:cat>
          <c:val>
            <c:numRef>
              <c:f>'Funds analysis'!$N$71:$N$74</c:f>
              <c:numCache>
                <c:formatCode>#,##0</c:formatCode>
                <c:ptCount val="4"/>
                <c:pt idx="0">
                  <c:v>0</c:v>
                </c:pt>
                <c:pt idx="1">
                  <c:v>80400</c:v>
                </c:pt>
                <c:pt idx="2">
                  <c:v>0</c:v>
                </c:pt>
                <c:pt idx="3">
                  <c:v>0</c:v>
                </c:pt>
              </c:numCache>
            </c:numRef>
          </c:val>
        </c:ser>
        <c:ser>
          <c:idx val="12"/>
          <c:order val="12"/>
          <c:tx>
            <c:strRef>
              <c:f>'Funds analysis'!$O$69:$O$70</c:f>
              <c:strCache>
                <c:ptCount val="1"/>
                <c:pt idx="0">
                  <c:v>Start fund</c:v>
                </c:pt>
              </c:strCache>
            </c:strRef>
          </c:tx>
          <c:invertIfNegative val="0"/>
          <c:cat>
            <c:strRef>
              <c:f>'Funds analysis'!$B$71:$B$74</c:f>
              <c:strCache>
                <c:ptCount val="4"/>
                <c:pt idx="0">
                  <c:v>Before 2014</c:v>
                </c:pt>
                <c:pt idx="1">
                  <c:v>2014</c:v>
                </c:pt>
                <c:pt idx="2">
                  <c:v>2015</c:v>
                </c:pt>
                <c:pt idx="3">
                  <c:v>2016</c:v>
                </c:pt>
              </c:strCache>
            </c:strRef>
          </c:cat>
          <c:val>
            <c:numRef>
              <c:f>'Funds analysis'!$O$71:$O$74</c:f>
              <c:numCache>
                <c:formatCode>#,##0</c:formatCode>
                <c:ptCount val="4"/>
                <c:pt idx="0">
                  <c:v>0</c:v>
                </c:pt>
                <c:pt idx="1">
                  <c:v>43482</c:v>
                </c:pt>
                <c:pt idx="2">
                  <c:v>0</c:v>
                </c:pt>
                <c:pt idx="3">
                  <c:v>0</c:v>
                </c:pt>
              </c:numCache>
            </c:numRef>
          </c:val>
        </c:ser>
        <c:ser>
          <c:idx val="13"/>
          <c:order val="13"/>
          <c:tx>
            <c:strRef>
              <c:f>'Funds analysis'!$P$69:$P$70</c:f>
              <c:strCache>
                <c:ptCount val="1"/>
                <c:pt idx="0">
                  <c:v>DFAT</c:v>
                </c:pt>
              </c:strCache>
            </c:strRef>
          </c:tx>
          <c:invertIfNegative val="0"/>
          <c:cat>
            <c:strRef>
              <c:f>'Funds analysis'!$B$71:$B$74</c:f>
              <c:strCache>
                <c:ptCount val="4"/>
                <c:pt idx="0">
                  <c:v>Before 2014</c:v>
                </c:pt>
                <c:pt idx="1">
                  <c:v>2014</c:v>
                </c:pt>
                <c:pt idx="2">
                  <c:v>2015</c:v>
                </c:pt>
                <c:pt idx="3">
                  <c:v>2016</c:v>
                </c:pt>
              </c:strCache>
            </c:strRef>
          </c:cat>
          <c:val>
            <c:numRef>
              <c:f>'Funds analysis'!$P$71:$P$74</c:f>
              <c:numCache>
                <c:formatCode>#,##0</c:formatCode>
                <c:ptCount val="4"/>
                <c:pt idx="0">
                  <c:v>0</c:v>
                </c:pt>
                <c:pt idx="1">
                  <c:v>439801.04303797468</c:v>
                </c:pt>
                <c:pt idx="2">
                  <c:v>272171.95696202532</c:v>
                </c:pt>
                <c:pt idx="3">
                  <c:v>0</c:v>
                </c:pt>
              </c:numCache>
            </c:numRef>
          </c:val>
        </c:ser>
        <c:ser>
          <c:idx val="14"/>
          <c:order val="14"/>
          <c:tx>
            <c:strRef>
              <c:f>'Funds analysis'!$Q$69:$Q$70</c:f>
              <c:strCache>
                <c:ptCount val="1"/>
                <c:pt idx="0">
                  <c:v>ERF</c:v>
                </c:pt>
              </c:strCache>
            </c:strRef>
          </c:tx>
          <c:invertIfNegative val="0"/>
          <c:cat>
            <c:strRef>
              <c:f>'Funds analysis'!$B$71:$B$74</c:f>
              <c:strCache>
                <c:ptCount val="4"/>
                <c:pt idx="0">
                  <c:v>Before 2014</c:v>
                </c:pt>
                <c:pt idx="1">
                  <c:v>2014</c:v>
                </c:pt>
                <c:pt idx="2">
                  <c:v>2015</c:v>
                </c:pt>
                <c:pt idx="3">
                  <c:v>2016</c:v>
                </c:pt>
              </c:strCache>
            </c:strRef>
          </c:cat>
          <c:val>
            <c:numRef>
              <c:f>'Funds analysis'!$Q$71:$Q$74</c:f>
              <c:numCache>
                <c:formatCode>#,##0</c:formatCode>
                <c:ptCount val="4"/>
                <c:pt idx="0">
                  <c:v>0</c:v>
                </c:pt>
                <c:pt idx="1">
                  <c:v>161000.81218274112</c:v>
                </c:pt>
                <c:pt idx="2">
                  <c:v>252378.94946109448</c:v>
                </c:pt>
                <c:pt idx="3">
                  <c:v>202473.23835616439</c:v>
                </c:pt>
              </c:numCache>
            </c:numRef>
          </c:val>
        </c:ser>
        <c:ser>
          <c:idx val="15"/>
          <c:order val="15"/>
          <c:tx>
            <c:strRef>
              <c:f>'Funds analysis'!$R$69:$R$70</c:f>
              <c:strCache>
                <c:ptCount val="1"/>
                <c:pt idx="0">
                  <c:v>FCA</c:v>
                </c:pt>
              </c:strCache>
            </c:strRef>
          </c:tx>
          <c:invertIfNegative val="0"/>
          <c:cat>
            <c:strRef>
              <c:f>'Funds analysis'!$B$71:$B$74</c:f>
              <c:strCache>
                <c:ptCount val="4"/>
                <c:pt idx="0">
                  <c:v>Before 2014</c:v>
                </c:pt>
                <c:pt idx="1">
                  <c:v>2014</c:v>
                </c:pt>
                <c:pt idx="2">
                  <c:v>2015</c:v>
                </c:pt>
                <c:pt idx="3">
                  <c:v>2016</c:v>
                </c:pt>
              </c:strCache>
            </c:strRef>
          </c:cat>
          <c:val>
            <c:numRef>
              <c:f>'Funds analysis'!$R$71:$R$74</c:f>
              <c:numCache>
                <c:formatCode>#,##0</c:formatCode>
                <c:ptCount val="4"/>
                <c:pt idx="0">
                  <c:v>0</c:v>
                </c:pt>
                <c:pt idx="1">
                  <c:v>0</c:v>
                </c:pt>
                <c:pt idx="2">
                  <c:v>400000</c:v>
                </c:pt>
                <c:pt idx="3">
                  <c:v>0</c:v>
                </c:pt>
              </c:numCache>
            </c:numRef>
          </c:val>
        </c:ser>
        <c:ser>
          <c:idx val="16"/>
          <c:order val="16"/>
          <c:tx>
            <c:strRef>
              <c:f>'Funds analysis'!$S$69:$S$70</c:f>
              <c:strCache>
                <c:ptCount val="1"/>
                <c:pt idx="0">
                  <c:v>HIDA</c:v>
                </c:pt>
              </c:strCache>
            </c:strRef>
          </c:tx>
          <c:invertIfNegative val="0"/>
          <c:cat>
            <c:strRef>
              <c:f>'Funds analysis'!$B$71:$B$74</c:f>
              <c:strCache>
                <c:ptCount val="4"/>
                <c:pt idx="0">
                  <c:v>Before 2014</c:v>
                </c:pt>
                <c:pt idx="1">
                  <c:v>2014</c:v>
                </c:pt>
                <c:pt idx="2">
                  <c:v>2015</c:v>
                </c:pt>
                <c:pt idx="3">
                  <c:v>2016</c:v>
                </c:pt>
              </c:strCache>
            </c:strRef>
          </c:cat>
          <c:val>
            <c:numRef>
              <c:f>'Funds analysis'!$S$71:$S$74</c:f>
              <c:numCache>
                <c:formatCode>#,##0</c:formatCode>
                <c:ptCount val="4"/>
                <c:pt idx="0">
                  <c:v>0</c:v>
                </c:pt>
                <c:pt idx="1">
                  <c:v>0</c:v>
                </c:pt>
                <c:pt idx="2">
                  <c:v>54846.542465753424</c:v>
                </c:pt>
                <c:pt idx="3">
                  <c:v>18215.457534246576</c:v>
                </c:pt>
              </c:numCache>
            </c:numRef>
          </c:val>
        </c:ser>
        <c:ser>
          <c:idx val="17"/>
          <c:order val="17"/>
          <c:tx>
            <c:strRef>
              <c:f>'Funds analysis'!$T$69:$T$70</c:f>
              <c:strCache>
                <c:ptCount val="1"/>
                <c:pt idx="0">
                  <c:v>WHH</c:v>
                </c:pt>
              </c:strCache>
            </c:strRef>
          </c:tx>
          <c:invertIfNegative val="0"/>
          <c:cat>
            <c:strRef>
              <c:f>'Funds analysis'!$B$71:$B$74</c:f>
              <c:strCache>
                <c:ptCount val="4"/>
                <c:pt idx="0">
                  <c:v>Before 2014</c:v>
                </c:pt>
                <c:pt idx="1">
                  <c:v>2014</c:v>
                </c:pt>
                <c:pt idx="2">
                  <c:v>2015</c:v>
                </c:pt>
                <c:pt idx="3">
                  <c:v>2016</c:v>
                </c:pt>
              </c:strCache>
            </c:strRef>
          </c:cat>
          <c:val>
            <c:numRef>
              <c:f>'Funds analysis'!$T$71:$T$74</c:f>
              <c:numCache>
                <c:formatCode>#,##0</c:formatCode>
                <c:ptCount val="4"/>
                <c:pt idx="0">
                  <c:v>0</c:v>
                </c:pt>
                <c:pt idx="1">
                  <c:v>0</c:v>
                </c:pt>
                <c:pt idx="2">
                  <c:v>23043.444227005872</c:v>
                </c:pt>
                <c:pt idx="3">
                  <c:v>9756.5557729941283</c:v>
                </c:pt>
              </c:numCache>
            </c:numRef>
          </c:val>
        </c:ser>
        <c:ser>
          <c:idx val="18"/>
          <c:order val="18"/>
          <c:tx>
            <c:strRef>
              <c:f>'Funds analysis'!$U$69:$U$70</c:f>
              <c:strCache>
                <c:ptCount val="1"/>
                <c:pt idx="0">
                  <c:v>DFID</c:v>
                </c:pt>
              </c:strCache>
            </c:strRef>
          </c:tx>
          <c:invertIfNegative val="0"/>
          <c:cat>
            <c:strRef>
              <c:f>'Funds analysis'!$B$71:$B$74</c:f>
              <c:strCache>
                <c:ptCount val="4"/>
                <c:pt idx="0">
                  <c:v>Before 2014</c:v>
                </c:pt>
                <c:pt idx="1">
                  <c:v>2014</c:v>
                </c:pt>
                <c:pt idx="2">
                  <c:v>2015</c:v>
                </c:pt>
                <c:pt idx="3">
                  <c:v>2016</c:v>
                </c:pt>
              </c:strCache>
            </c:strRef>
          </c:cat>
          <c:val>
            <c:numRef>
              <c:f>'Funds analysis'!$U$71:$U$74</c:f>
              <c:numCache>
                <c:formatCode>#,##0</c:formatCode>
                <c:ptCount val="4"/>
                <c:pt idx="0">
                  <c:v>165239.41391941393</c:v>
                </c:pt>
                <c:pt idx="1">
                  <c:v>79925.586080586087</c:v>
                </c:pt>
                <c:pt idx="2">
                  <c:v>154118</c:v>
                </c:pt>
                <c:pt idx="3">
                  <c:v>0</c:v>
                </c:pt>
              </c:numCache>
            </c:numRef>
          </c:val>
        </c:ser>
        <c:dLbls>
          <c:showLegendKey val="0"/>
          <c:showVal val="0"/>
          <c:showCatName val="0"/>
          <c:showSerName val="0"/>
          <c:showPercent val="0"/>
          <c:showBubbleSize val="0"/>
        </c:dLbls>
        <c:gapWidth val="150"/>
        <c:shape val="box"/>
        <c:axId val="579684624"/>
        <c:axId val="579685016"/>
        <c:axId val="0"/>
      </c:bar3DChart>
      <c:catAx>
        <c:axId val="579684624"/>
        <c:scaling>
          <c:orientation val="minMax"/>
        </c:scaling>
        <c:delete val="0"/>
        <c:axPos val="b"/>
        <c:numFmt formatCode="General" sourceLinked="1"/>
        <c:majorTickMark val="out"/>
        <c:minorTickMark val="none"/>
        <c:tickLblPos val="nextTo"/>
        <c:txPr>
          <a:bodyPr/>
          <a:lstStyle/>
          <a:p>
            <a:pPr>
              <a:defRPr sz="1000"/>
            </a:pPr>
            <a:endParaRPr lang="en-US"/>
          </a:p>
        </c:txPr>
        <c:crossAx val="579685016"/>
        <c:crosses val="autoZero"/>
        <c:auto val="0"/>
        <c:lblAlgn val="ctr"/>
        <c:lblOffset val="100"/>
        <c:noMultiLvlLbl val="0"/>
      </c:catAx>
      <c:valAx>
        <c:axId val="579685016"/>
        <c:scaling>
          <c:orientation val="minMax"/>
          <c:max val="8000000"/>
        </c:scaling>
        <c:delete val="0"/>
        <c:axPos val="l"/>
        <c:majorGridlines/>
        <c:numFmt formatCode="#,##0" sourceLinked="1"/>
        <c:majorTickMark val="out"/>
        <c:minorTickMark val="none"/>
        <c:tickLblPos val="nextTo"/>
        <c:txPr>
          <a:bodyPr/>
          <a:lstStyle/>
          <a:p>
            <a:pPr>
              <a:defRPr sz="1000"/>
            </a:pPr>
            <a:endParaRPr lang="en-US"/>
          </a:p>
        </c:txPr>
        <c:crossAx val="579684624"/>
        <c:crosses val="autoZero"/>
        <c:crossBetween val="between"/>
      </c:valAx>
      <c:spPr>
        <a:noFill/>
        <a:ln w="25400">
          <a:noFill/>
        </a:ln>
      </c:spPr>
    </c:plotArea>
    <c:legend>
      <c:legendPos val="r"/>
      <c:layout>
        <c:manualLayout>
          <c:xMode val="edge"/>
          <c:yMode val="edge"/>
          <c:x val="0.86785085687818431"/>
          <c:y val="8.6024415234419477E-2"/>
          <c:w val="0.10668612011733829"/>
          <c:h val="0.78098961467025929"/>
        </c:manualLayout>
      </c:layout>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Water target pop.:</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1" baseline="0">
                <a:effectLst/>
              </a:rPr>
              <a:t>99,500</a:t>
            </a:r>
            <a:endParaRPr lang="en-US" sz="600" b="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Water 100% covered:</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831427358592615E-2"/>
                  <c:y val="0.1950663557806414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indicator'!$C$54:$C$57</c:f>
              <c:numCache>
                <c:formatCode>0%</c:formatCode>
                <c:ptCount val="4"/>
                <c:pt idx="0">
                  <c:v>0.68879965699159251</c:v>
                </c:pt>
                <c:pt idx="1">
                  <c:v>0.31120034300840749</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analysis!PivotTable8</c:name>
    <c:fmtId val="4"/>
  </c:pivotSource>
  <c:chart>
    <c:title>
      <c:tx>
        <c:rich>
          <a:bodyPr/>
          <a:lstStyle/>
          <a:p>
            <a:pPr>
              <a:defRPr sz="1400"/>
            </a:pPr>
            <a:r>
              <a:rPr lang="en-US" sz="1400"/>
              <a:t>GEOGRAPHIC FUND REPARTITION</a:t>
            </a:r>
          </a:p>
        </c:rich>
      </c:tx>
      <c:layout>
        <c:manualLayout>
          <c:xMode val="edge"/>
          <c:yMode val="edge"/>
          <c:x val="0.29358796296296297"/>
          <c:y val="8.3333333333333329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layout>
            <c:manualLayout>
              <c:x val="-2.3360126859142606E-2"/>
              <c:y val="2.6588863892013499E-2"/>
            </c:manualLayout>
          </c:layout>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6913431061166593E-2"/>
              <c:y val="-3.5505547602004292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6.8190231842442425E-2"/>
              <c:y val="6.6817775283657468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0603588696956626"/>
              <c:y val="5.6355330305315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pie3DChart>
        <c:varyColors val="1"/>
        <c:ser>
          <c:idx val="0"/>
          <c:order val="0"/>
          <c:tx>
            <c:strRef>
              <c:f>'Funds analysis'!$C$103</c:f>
              <c:strCache>
                <c:ptCount val="1"/>
                <c:pt idx="0">
                  <c:v>Total</c:v>
                </c:pt>
              </c:strCache>
            </c:strRef>
          </c:tx>
          <c:explosion val="17"/>
          <c:dLbls>
            <c:dLbl>
              <c:idx val="0"/>
              <c:layout>
                <c:manualLayout>
                  <c:x val="0.10603588696956626"/>
                  <c:y val="5.6355330305315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5.6913431061166593E-2"/>
                  <c:y val="-3.5505547602004292E-2"/>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6.8190231842442425E-2"/>
                  <c:y val="6.6817775283657468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'Funds analysis'!$B$104:$B$106</c:f>
              <c:strCache>
                <c:ptCount val="3"/>
                <c:pt idx="0">
                  <c:v>% fund attributed for Northern Shan</c:v>
                </c:pt>
                <c:pt idx="1">
                  <c:v> % fund attributed for South Kachin</c:v>
                </c:pt>
                <c:pt idx="2">
                  <c:v> % funds attributed for North kachin</c:v>
                </c:pt>
              </c:strCache>
            </c:strRef>
          </c:cat>
          <c:val>
            <c:numRef>
              <c:f>'Funds analysis'!$C$104:$C$106</c:f>
              <c:numCache>
                <c:formatCode>0%</c:formatCode>
                <c:ptCount val="3"/>
                <c:pt idx="0">
                  <c:v>0.21542239763459736</c:v>
                </c:pt>
                <c:pt idx="1">
                  <c:v>0.51437396895173315</c:v>
                </c:pt>
                <c:pt idx="2">
                  <c:v>0.30073037993012347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analysis!PivotTable1</c:name>
    <c:fmtId val="6"/>
  </c:pivotSource>
  <c:chart>
    <c:title>
      <c:tx>
        <c:rich>
          <a:bodyPr/>
          <a:lstStyle/>
          <a:p>
            <a:pPr>
              <a:defRPr sz="1400"/>
            </a:pPr>
            <a:r>
              <a:rPr lang="en-US" sz="1400"/>
              <a:t>TYPOLOGY OF THE BENEFICIARIES TARGETTED</a:t>
            </a:r>
          </a:p>
        </c:rich>
      </c:tx>
      <c:layout>
        <c:manualLayout>
          <c:xMode val="edge"/>
          <c:yMode val="edge"/>
          <c:x val="0.2591588160854893"/>
          <c:y val="7.1216061954364446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39169113981490949"/>
              <c:y val="0.17380657421940873"/>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39169113981490949"/>
              <c:y val="0.17380657421940873"/>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9.2938311688311695E-2"/>
          <c:y val="0.30739015942611786"/>
          <c:w val="0.8303571428571429"/>
          <c:h val="0.69036795132898343"/>
        </c:manualLayout>
      </c:layout>
      <c:pie3DChart>
        <c:varyColors val="1"/>
        <c:ser>
          <c:idx val="0"/>
          <c:order val="0"/>
          <c:tx>
            <c:strRef>
              <c:f>'Funds analysis'!$C$133</c:f>
              <c:strCache>
                <c:ptCount val="1"/>
                <c:pt idx="0">
                  <c:v>Total</c:v>
                </c:pt>
              </c:strCache>
            </c:strRef>
          </c:tx>
          <c:dPt>
            <c:idx val="1"/>
            <c:bubble3D val="0"/>
            <c:explosion val="15"/>
          </c:dPt>
          <c:dLbls>
            <c:dLbl>
              <c:idx val="0"/>
              <c:layout>
                <c:manualLayout>
                  <c:x val="-0.39169113981490949"/>
                  <c:y val="0.17380657421940873"/>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'Funds analysis'!$B$134:$B$135</c:f>
              <c:strCache>
                <c:ptCount val="2"/>
                <c:pt idx="0">
                  <c:v>Average of Approximate % of beneficiaries in host community</c:v>
                </c:pt>
                <c:pt idx="1">
                  <c:v>Average of Approximate % of beneficiaries in camps</c:v>
                </c:pt>
              </c:strCache>
            </c:strRef>
          </c:cat>
          <c:val>
            <c:numRef>
              <c:f>'Funds analysis'!$C$134:$C$135</c:f>
              <c:numCache>
                <c:formatCode>0%</c:formatCode>
                <c:ptCount val="2"/>
                <c:pt idx="0">
                  <c:v>4.4814814814814814E-2</c:v>
                </c:pt>
                <c:pt idx="1">
                  <c:v>0.95810344827586202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2016.xlsx]Funds analysis!PivotTable10</c:name>
    <c:fmtId val="57"/>
  </c:pivotSource>
  <c:chart>
    <c:title>
      <c:tx>
        <c:rich>
          <a:bodyPr/>
          <a:lstStyle/>
          <a:p>
            <a:pPr>
              <a:defRPr sz="1400"/>
            </a:pPr>
            <a:r>
              <a:rPr lang="en-US" sz="1400"/>
              <a:t>DONORS</a:t>
            </a:r>
            <a:r>
              <a:rPr lang="en-US" sz="1400" baseline="0"/>
              <a:t> FUNDING </a:t>
            </a:r>
            <a:r>
              <a:rPr lang="en-US" sz="1400" baseline="0">
                <a:solidFill>
                  <a:srgbClr val="FF0000"/>
                </a:solidFill>
              </a:rPr>
              <a:t>in 2014 (up to July)</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1"/>
        <c:dLbl>
          <c:idx val="0"/>
          <c:layout>
            <c:manualLayout>
              <c:x val="-2.7511973996734503E-2"/>
              <c:y val="-5.8997246725005698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2"/>
        <c:dLbl>
          <c:idx val="0"/>
          <c:layout>
            <c:manualLayout>
              <c:x val="-2.998614728544137E-2"/>
              <c:y val="-4.245830629745890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3"/>
        <c:dLbl>
          <c:idx val="0"/>
          <c:layout>
            <c:manualLayout>
              <c:x val="7.7646653166054583E-2"/>
              <c:y val="-5.4857250583098045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4"/>
        <c:dLbl>
          <c:idx val="0"/>
          <c:layout>
            <c:manualLayout>
              <c:x val="1.389760761506958E-2"/>
              <c:y val="-5.3465268400469987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5"/>
        <c:dLbl>
          <c:idx val="0"/>
          <c:layout>
            <c:manualLayout>
              <c:x val="5.8706536730819721E-3"/>
              <c:y val="8.3706574540097861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analysis'!$C$33:$C$34</c:f>
              <c:strCache>
                <c:ptCount val="1"/>
                <c:pt idx="0">
                  <c:v>Total</c:v>
                </c:pt>
              </c:strCache>
            </c:strRef>
          </c:tx>
          <c:explosion val="20"/>
          <c:dLbls>
            <c:dLbl>
              <c:idx val="4"/>
              <c:layout>
                <c:manualLayout>
                  <c:x val="5.8706536730819721E-3"/>
                  <c:y val="8.370657454009786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2.7511973996734503E-2"/>
                  <c:y val="-5.899724672500569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7.7646653166054583E-2"/>
                  <c:y val="-5.4857250583098045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'Funds analysis'!$B$35:$B$45</c:f>
              <c:strCache>
                <c:ptCount val="10"/>
                <c:pt idx="0">
                  <c:v>ECHO</c:v>
                </c:pt>
                <c:pt idx="1">
                  <c:v>OFDA</c:v>
                </c:pt>
                <c:pt idx="2">
                  <c:v>CERF</c:v>
                </c:pt>
                <c:pt idx="3">
                  <c:v>CIDA</c:v>
                </c:pt>
                <c:pt idx="4">
                  <c:v>Start fund</c:v>
                </c:pt>
                <c:pt idx="5">
                  <c:v>Australian</c:v>
                </c:pt>
                <c:pt idx="6">
                  <c:v>SC seed funding</c:v>
                </c:pt>
                <c:pt idx="7">
                  <c:v>Sweden</c:v>
                </c:pt>
                <c:pt idx="8">
                  <c:v>ERF</c:v>
                </c:pt>
                <c:pt idx="9">
                  <c:v>DFID</c:v>
                </c:pt>
              </c:strCache>
            </c:strRef>
          </c:cat>
          <c:val>
            <c:numRef>
              <c:f>'Funds analysis'!$C$35:$C$45</c:f>
              <c:numCache>
                <c:formatCode>#,##0</c:formatCode>
                <c:ptCount val="10"/>
                <c:pt idx="0">
                  <c:v>723675.93633648218</c:v>
                </c:pt>
                <c:pt idx="1">
                  <c:v>585345.41666666674</c:v>
                </c:pt>
                <c:pt idx="2">
                  <c:v>1022388.1533101045</c:v>
                </c:pt>
                <c:pt idx="3">
                  <c:v>37538.200440528635</c:v>
                </c:pt>
                <c:pt idx="4">
                  <c:v>43482</c:v>
                </c:pt>
                <c:pt idx="5">
                  <c:v>100963.83480176212</c:v>
                </c:pt>
                <c:pt idx="6">
                  <c:v>17000</c:v>
                </c:pt>
                <c:pt idx="7">
                  <c:v>50000</c:v>
                </c:pt>
                <c:pt idx="8">
                  <c:v>78945</c:v>
                </c:pt>
                <c:pt idx="9">
                  <c:v>79925.586080586087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Sanitation target:</a:t>
            </a: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Sanitation 100% covered:</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 </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930994576686513E-2"/>
                  <c:y val="0.1817993782279496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indicator'!$C$61:$C$64</c:f>
              <c:numCache>
                <c:formatCode>0%</c:formatCode>
                <c:ptCount val="4"/>
                <c:pt idx="0">
                  <c:v>0.64366007014628457</c:v>
                </c:pt>
                <c:pt idx="1">
                  <c:v>0.35633992985371543</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HP target:</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HP population covered:</a:t>
            </a:r>
            <a:endParaRPr lang="en-US" sz="600">
              <a:effectLst/>
            </a:endParaRPr>
          </a:p>
        </c:rich>
      </c:tx>
      <c:layout>
        <c:manualLayout>
          <c:xMode val="edge"/>
          <c:yMode val="edge"/>
          <c:x val="0.15545063932946532"/>
          <c:y val="0.52055127947985091"/>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6128348100990472"/>
                  <c:y val="0.12873146801718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indicator'!$C$68:$C$71</c:f>
              <c:numCache>
                <c:formatCode>0%</c:formatCode>
                <c:ptCount val="4"/>
                <c:pt idx="0">
                  <c:v>0.45461279730280341</c:v>
                </c:pt>
                <c:pt idx="1">
                  <c:v>0.54538720269719665</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2016.xlsx]SituationAnalysis!PivotTable11</c:name>
    <c:fmtId val="41"/>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Location coverage</a:t>
            </a:r>
          </a:p>
        </c:rich>
      </c:tx>
      <c:layout>
        <c:manualLayout>
          <c:xMode val="edge"/>
          <c:yMode val="edge"/>
          <c:x val="0.38397627461921596"/>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1"/>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8.497364994729989E-2"/>
          <c:y val="0.14921451891684268"/>
          <c:w val="0.91502635005270005"/>
          <c:h val="0.63521157416298568"/>
        </c:manualLayout>
      </c:layout>
      <c:bar3DChart>
        <c:barDir val="col"/>
        <c:grouping val="stacked"/>
        <c:varyColors val="0"/>
        <c:ser>
          <c:idx val="0"/>
          <c:order val="0"/>
          <c:tx>
            <c:strRef>
              <c:f>SituationAnalysis!$C$565:$C$566</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SituationAnalysis!$B$567:$B$569</c:f>
              <c:strCache>
                <c:ptCount val="2"/>
                <c:pt idx="0">
                  <c:v>GCA</c:v>
                </c:pt>
                <c:pt idx="1">
                  <c:v>NGCA</c:v>
                </c:pt>
              </c:strCache>
            </c:strRef>
          </c:cat>
          <c:val>
            <c:numRef>
              <c:f>SituationAnalysis!$C$567:$C$569</c:f>
              <c:numCache>
                <c:formatCode>0</c:formatCode>
                <c:ptCount val="2"/>
                <c:pt idx="0">
                  <c:v>74</c:v>
                </c:pt>
                <c:pt idx="1">
                  <c:v>13</c:v>
                </c:pt>
              </c:numCache>
            </c:numRef>
          </c:val>
        </c:ser>
        <c:ser>
          <c:idx val="1"/>
          <c:order val="1"/>
          <c:tx>
            <c:strRef>
              <c:f>SituationAnalysis!$D$565:$D$566</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SituationAnalysis!$B$567:$B$569</c:f>
              <c:strCache>
                <c:ptCount val="2"/>
                <c:pt idx="0">
                  <c:v>GCA</c:v>
                </c:pt>
                <c:pt idx="1">
                  <c:v>NGCA</c:v>
                </c:pt>
              </c:strCache>
            </c:strRef>
          </c:cat>
          <c:val>
            <c:numRef>
              <c:f>SituationAnalysis!$D$567:$D$569</c:f>
              <c:numCache>
                <c:formatCode>0</c:formatCode>
                <c:ptCount val="2"/>
                <c:pt idx="0">
                  <c:v>66</c:v>
                </c:pt>
                <c:pt idx="1">
                  <c:v>8</c:v>
                </c:pt>
              </c:numCache>
            </c:numRef>
          </c:val>
        </c:ser>
        <c:dLbls>
          <c:showLegendKey val="0"/>
          <c:showVal val="1"/>
          <c:showCatName val="0"/>
          <c:showSerName val="0"/>
          <c:showPercent val="0"/>
          <c:showBubbleSize val="0"/>
        </c:dLbls>
        <c:gapWidth val="150"/>
        <c:shape val="box"/>
        <c:axId val="529938584"/>
        <c:axId val="529938976"/>
        <c:axId val="0"/>
      </c:bar3DChart>
      <c:catAx>
        <c:axId val="529938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529938976"/>
        <c:crosses val="autoZero"/>
        <c:auto val="1"/>
        <c:lblAlgn val="ctr"/>
        <c:lblOffset val="100"/>
        <c:noMultiLvlLbl val="0"/>
      </c:catAx>
      <c:valAx>
        <c:axId val="529938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529938584"/>
        <c:crosses val="autoZero"/>
        <c:crossBetween val="between"/>
      </c:valAx>
      <c:spPr>
        <a:noFill/>
        <a:ln>
          <a:noFill/>
        </a:ln>
        <a:effectLst/>
      </c:spPr>
    </c:plotArea>
    <c:legend>
      <c:legendPos val="b"/>
      <c:layout>
        <c:manualLayout>
          <c:xMode val="edge"/>
          <c:yMode val="edge"/>
          <c:x val="0.28426643519953709"/>
          <c:y val="0.84550967714401548"/>
          <c:w val="0.39997106660879989"/>
          <c:h val="0.1436502144549004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Wash_Matrix_KachinNorth Shan_February 2016.xlsx]SituationAnalysis!PivotTable1</c:name>
    <c:fmtId val="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a:t>
            </a:r>
          </a:p>
        </c:rich>
      </c:tx>
      <c:layout>
        <c:manualLayout>
          <c:xMode val="edge"/>
          <c:yMode val="edge"/>
          <c:x val="0.3826745468274998"/>
          <c:y val="3.7988295498143829E-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240869603153294E-2"/>
          <c:y val="0.13495147055077236"/>
          <c:w val="0.90775913039684675"/>
          <c:h val="0.63329908391159795"/>
        </c:manualLayout>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cat>
            <c:strRef>
              <c:f>SituationAnalysis!$B$14:$B$16</c:f>
              <c:strCache>
                <c:ptCount val="2"/>
                <c:pt idx="0">
                  <c:v>GCA</c:v>
                </c:pt>
                <c:pt idx="1">
                  <c:v>NGCA</c:v>
                </c:pt>
              </c:strCache>
            </c:strRef>
          </c:cat>
          <c:val>
            <c:numRef>
              <c:f>SituationAnalysis!$C$14:$C$16</c:f>
              <c:numCache>
                <c:formatCode>0%</c:formatCode>
                <c:ptCount val="2"/>
                <c:pt idx="0">
                  <c:v>0.95970609522011385</c:v>
                </c:pt>
                <c:pt idx="1">
                  <c:v>0.97027248613455508</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cat>
            <c:strRef>
              <c:f>SituationAnalysis!$B$14:$B$16</c:f>
              <c:strCache>
                <c:ptCount val="2"/>
                <c:pt idx="0">
                  <c:v>GCA</c:v>
                </c:pt>
                <c:pt idx="1">
                  <c:v>NGCA</c:v>
                </c:pt>
              </c:strCache>
            </c:strRef>
          </c:cat>
          <c:val>
            <c:numRef>
              <c:f>SituationAnalysis!$D$14:$D$16</c:f>
              <c:numCache>
                <c:formatCode>0%</c:formatCode>
                <c:ptCount val="2"/>
                <c:pt idx="0">
                  <c:v>0.83824223543849707</c:v>
                </c:pt>
                <c:pt idx="1">
                  <c:v>0.9787396511534443</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cat>
            <c:strRef>
              <c:f>SituationAnalysis!$B$14:$B$16</c:f>
              <c:strCache>
                <c:ptCount val="2"/>
                <c:pt idx="0">
                  <c:v>GCA</c:v>
                </c:pt>
                <c:pt idx="1">
                  <c:v>NGCA</c:v>
                </c:pt>
              </c:strCache>
            </c:strRef>
          </c:cat>
          <c:val>
            <c:numRef>
              <c:f>SituationAnalysis!$E$14:$E$16</c:f>
              <c:numCache>
                <c:formatCode>0%</c:formatCode>
                <c:ptCount val="2"/>
                <c:pt idx="0">
                  <c:v>0.56195128858680266</c:v>
                </c:pt>
                <c:pt idx="1">
                  <c:v>0.54465075154730325</c:v>
                </c:pt>
              </c:numCache>
            </c:numRef>
          </c:val>
        </c:ser>
        <c:dLbls>
          <c:showLegendKey val="0"/>
          <c:showVal val="0"/>
          <c:showCatName val="0"/>
          <c:showSerName val="0"/>
          <c:showPercent val="0"/>
          <c:showBubbleSize val="0"/>
        </c:dLbls>
        <c:gapWidth val="150"/>
        <c:shape val="box"/>
        <c:axId val="624516576"/>
        <c:axId val="624516968"/>
        <c:axId val="0"/>
      </c:bar3DChart>
      <c:catAx>
        <c:axId val="624516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624516968"/>
        <c:crosses val="autoZero"/>
        <c:auto val="1"/>
        <c:lblAlgn val="ctr"/>
        <c:lblOffset val="100"/>
        <c:noMultiLvlLbl val="0"/>
      </c:catAx>
      <c:valAx>
        <c:axId val="624516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624516576"/>
        <c:crosses val="autoZero"/>
        <c:crossBetween val="between"/>
        <c:majorUnit val="0.2"/>
      </c:valAx>
      <c:spPr>
        <a:noFill/>
        <a:ln>
          <a:noFill/>
        </a:ln>
        <a:effectLst/>
      </c:spPr>
    </c:plotArea>
    <c:legend>
      <c:legendPos val="b"/>
      <c:layout>
        <c:manualLayout>
          <c:xMode val="edge"/>
          <c:yMode val="edge"/>
          <c:x val="5.8994800668652654E-2"/>
          <c:y val="0.83329923830418273"/>
          <c:w val="0.91804606723201132"/>
          <c:h val="0.1568968325589258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2.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1" Type="http://schemas.openxmlformats.org/officeDocument/2006/relationships/image" Target="../media/image4.jpeg"/><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editAs="oneCell">
    <xdr:from>
      <xdr:col>4</xdr:col>
      <xdr:colOff>487234</xdr:colOff>
      <xdr:row>1</xdr:row>
      <xdr:rowOff>152400</xdr:rowOff>
    </xdr:from>
    <xdr:to>
      <xdr:col>11</xdr:col>
      <xdr:colOff>241452</xdr:colOff>
      <xdr:row>33</xdr:row>
      <xdr:rowOff>142875</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925634" y="342900"/>
          <a:ext cx="4021418" cy="6086475"/>
        </a:xfrm>
        <a:prstGeom prst="rect">
          <a:avLst/>
        </a:prstGeom>
      </xdr:spPr>
    </xdr:pic>
    <xdr:clientData/>
  </xdr:twoCellAnchor>
  <xdr:twoCellAnchor editAs="oneCell">
    <xdr:from>
      <xdr:col>0</xdr:col>
      <xdr:colOff>57149</xdr:colOff>
      <xdr:row>0</xdr:row>
      <xdr:rowOff>24530</xdr:rowOff>
    </xdr:from>
    <xdr:to>
      <xdr:col>2</xdr:col>
      <xdr:colOff>89070</xdr:colOff>
      <xdr:row>2</xdr:row>
      <xdr:rowOff>41215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 y="24530"/>
          <a:ext cx="1250022" cy="40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571501</xdr:colOff>
      <xdr:row>0</xdr:row>
      <xdr:rowOff>87313</xdr:rowOff>
    </xdr:from>
    <xdr:to>
      <xdr:col>14</xdr:col>
      <xdr:colOff>1066800</xdr:colOff>
      <xdr:row>1</xdr:row>
      <xdr:rowOff>161989</xdr:rowOff>
    </xdr:to>
    <xdr:sp macro="" textlink="">
      <xdr:nvSpPr>
        <xdr:cNvPr id="4" name="TextBox 3"/>
        <xdr:cNvSpPr txBox="1"/>
      </xdr:nvSpPr>
      <xdr:spPr>
        <a:xfrm>
          <a:off x="1181101" y="87313"/>
          <a:ext cx="8420099"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1">
              <a:solidFill>
                <a:schemeClr val="bg1"/>
              </a:solidFill>
            </a:rPr>
            <a:t>		MYANMAR</a:t>
          </a:r>
          <a:r>
            <a:rPr lang="en-US" sz="1100" b="1" baseline="0">
              <a:solidFill>
                <a:schemeClr val="bg1"/>
              </a:solidFill>
            </a:rPr>
            <a:t> MONTHLY SNAPSHOT</a:t>
          </a:r>
          <a:r>
            <a:rPr lang="en-US" sz="1100" b="1" i="1" baseline="0">
              <a:solidFill>
                <a:schemeClr val="bg1"/>
              </a:solidFill>
            </a:rPr>
            <a:t>: </a:t>
          </a:r>
          <a:r>
            <a:rPr lang="en-US" sz="1100" b="1" i="1" baseline="0">
              <a:solidFill>
                <a:sysClr val="windowText" lastClr="000000"/>
              </a:solidFill>
            </a:rPr>
            <a:t>KACHIN</a:t>
          </a:r>
          <a:r>
            <a:rPr lang="en-US" sz="1100" b="1" i="1" baseline="0">
              <a:solidFill>
                <a:schemeClr val="bg1"/>
              </a:solidFill>
            </a:rPr>
            <a:t>	</a:t>
          </a:r>
          <a:r>
            <a:rPr lang="en-US" sz="1100" b="1" baseline="0">
              <a:solidFill>
                <a:schemeClr val="bg1"/>
              </a:solidFill>
            </a:rPr>
            <a:t>		March 2016</a:t>
          </a:r>
          <a:endParaRPr lang="en-US" sz="1100" b="1">
            <a:solidFill>
              <a:schemeClr val="bg1"/>
            </a:solidFill>
          </a:endParaRPr>
        </a:p>
      </xdr:txBody>
    </xdr:sp>
    <xdr:clientData/>
  </xdr:twoCellAnchor>
  <xdr:twoCellAnchor>
    <xdr:from>
      <xdr:col>0</xdr:col>
      <xdr:colOff>96837</xdr:colOff>
      <xdr:row>2</xdr:row>
      <xdr:rowOff>60326</xdr:rowOff>
    </xdr:from>
    <xdr:to>
      <xdr:col>4</xdr:col>
      <xdr:colOff>484909</xdr:colOff>
      <xdr:row>3</xdr:row>
      <xdr:rowOff>117476</xdr:rowOff>
    </xdr:to>
    <xdr:sp macro="" textlink="">
      <xdr:nvSpPr>
        <xdr:cNvPr id="5" name="TextBox 4"/>
        <xdr:cNvSpPr txBox="1"/>
      </xdr:nvSpPr>
      <xdr:spPr>
        <a:xfrm>
          <a:off x="96837" y="441326"/>
          <a:ext cx="2812617" cy="247650"/>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 OF THE MONTH</a:t>
          </a:r>
          <a:endParaRPr lang="en-US">
            <a:effectLst/>
          </a:endParaRPr>
        </a:p>
        <a:p>
          <a:pPr algn="ctr"/>
          <a:endParaRPr lang="en-US" sz="1100"/>
        </a:p>
      </xdr:txBody>
    </xdr:sp>
    <xdr:clientData/>
  </xdr:twoCellAnchor>
  <xdr:twoCellAnchor>
    <xdr:from>
      <xdr:col>7</xdr:col>
      <xdr:colOff>569913</xdr:colOff>
      <xdr:row>33</xdr:row>
      <xdr:rowOff>166688</xdr:rowOff>
    </xdr:from>
    <xdr:to>
      <xdr:col>10</xdr:col>
      <xdr:colOff>403226</xdr:colOff>
      <xdr:row>38</xdr:row>
      <xdr:rowOff>203201</xdr:rowOff>
    </xdr:to>
    <xdr:sp macro="" textlink="">
      <xdr:nvSpPr>
        <xdr:cNvPr id="6" name="TextBox 5"/>
        <xdr:cNvSpPr txBox="1"/>
      </xdr:nvSpPr>
      <xdr:spPr>
        <a:xfrm>
          <a:off x="4837113" y="6453188"/>
          <a:ext cx="1662113" cy="989013"/>
        </a:xfrm>
        <a:prstGeom prst="rect">
          <a:avLst/>
        </a:prstGeom>
        <a:solidFill>
          <a:schemeClr val="lt1"/>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chemeClr val="bg1">
                  <a:lumMod val="50000"/>
                </a:schemeClr>
              </a:solidFill>
            </a:rPr>
            <a:t>Limitation of analysis:</a:t>
          </a:r>
        </a:p>
        <a:p>
          <a:pPr marL="171450" lvl="0" indent="-171450">
            <a:buFont typeface="Wingdings" panose="05000000000000000000" pitchFamily="2" charset="2"/>
            <a:buChar char="ü"/>
          </a:pPr>
          <a:r>
            <a:rPr lang="en-US" sz="600" i="1">
              <a:solidFill>
                <a:schemeClr val="bg1">
                  <a:lumMod val="50000"/>
                </a:schemeClr>
              </a:solidFill>
            </a:rPr>
            <a:t>Some location remain undocumented due to access</a:t>
          </a:r>
          <a:endParaRPr lang="en-US" sz="600" i="1" baseline="0">
            <a:solidFill>
              <a:schemeClr val="bg1">
                <a:lumMod val="50000"/>
              </a:schemeClr>
            </a:solidFill>
          </a:endParaRPr>
        </a:p>
        <a:p>
          <a:pPr marL="171450" lvl="0" indent="-171450">
            <a:buFont typeface="Wingdings" panose="05000000000000000000" pitchFamily="2" charset="2"/>
            <a:buChar char="ü"/>
          </a:pPr>
          <a:r>
            <a:rPr lang="en-US" sz="600" i="1" baseline="0">
              <a:solidFill>
                <a:schemeClr val="bg1">
                  <a:lumMod val="50000"/>
                </a:schemeClr>
              </a:solidFill>
            </a:rPr>
            <a:t>Wash in school for surrounding camp location under evaluation</a:t>
          </a:r>
        </a:p>
        <a:p>
          <a:pPr marL="171450" lvl="0" indent="-171450">
            <a:buFont typeface="Wingdings" panose="05000000000000000000" pitchFamily="2" charset="2"/>
            <a:buChar char="ü"/>
          </a:pPr>
          <a:r>
            <a:rPr lang="en-US" sz="600" i="1" baseline="0">
              <a:solidFill>
                <a:schemeClr val="bg1">
                  <a:lumMod val="50000"/>
                </a:schemeClr>
              </a:solidFill>
            </a:rPr>
            <a:t>Good Water access reported do not report enough closely about safe drinking water remaing low</a:t>
          </a:r>
        </a:p>
        <a:p>
          <a:pPr marL="171450" lvl="0" indent="-171450">
            <a:buFont typeface="Wingdings" panose="05000000000000000000" pitchFamily="2" charset="2"/>
            <a:buChar char="ü"/>
          </a:pPr>
          <a:r>
            <a:rPr lang="en-US" sz="600" i="1" baseline="0">
              <a:solidFill>
                <a:schemeClr val="bg1">
                  <a:lumMod val="50000"/>
                </a:schemeClr>
              </a:solidFill>
            </a:rPr>
            <a:t>Target 20,000 small scale emergency monitored aside </a:t>
          </a:r>
          <a:endParaRPr lang="en-US" sz="600" i="1">
            <a:solidFill>
              <a:schemeClr val="bg1">
                <a:lumMod val="50000"/>
              </a:schemeClr>
            </a:solidFill>
          </a:endParaRPr>
        </a:p>
      </xdr:txBody>
    </xdr:sp>
    <xdr:clientData/>
  </xdr:twoCellAnchor>
  <xdr:twoCellAnchor editAs="oneCell">
    <xdr:from>
      <xdr:col>11</xdr:col>
      <xdr:colOff>38100</xdr:colOff>
      <xdr:row>24</xdr:row>
      <xdr:rowOff>114300</xdr:rowOff>
    </xdr:from>
    <xdr:to>
      <xdr:col>14</xdr:col>
      <xdr:colOff>981075</xdr:colOff>
      <xdr:row>31</xdr:row>
      <xdr:rowOff>85725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19</xdr:row>
      <xdr:rowOff>123824</xdr:rowOff>
    </xdr:from>
    <xdr:to>
      <xdr:col>4</xdr:col>
      <xdr:colOff>352424</xdr:colOff>
      <xdr:row>26</xdr:row>
      <xdr:rowOff>61913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109536</xdr:colOff>
      <xdr:row>26</xdr:row>
      <xdr:rowOff>109538</xdr:rowOff>
    </xdr:from>
    <xdr:to>
      <xdr:col>5</xdr:col>
      <xdr:colOff>129886</xdr:colOff>
      <xdr:row>33</xdr:row>
      <xdr:rowOff>28576</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114300</xdr:colOff>
      <xdr:row>33</xdr:row>
      <xdr:rowOff>171450</xdr:rowOff>
    </xdr:from>
    <xdr:to>
      <xdr:col>1</xdr:col>
      <xdr:colOff>604837</xdr:colOff>
      <xdr:row>38</xdr:row>
      <xdr:rowOff>176214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452438</xdr:colOff>
      <xdr:row>38</xdr:row>
      <xdr:rowOff>9524</xdr:rowOff>
    </xdr:from>
    <xdr:to>
      <xdr:col>1</xdr:col>
      <xdr:colOff>266700</xdr:colOff>
      <xdr:row>38</xdr:row>
      <xdr:rowOff>128587</xdr:rowOff>
    </xdr:to>
    <xdr:sp macro="" textlink="'Cluster indicator'!E12">
      <xdr:nvSpPr>
        <xdr:cNvPr id="8" name="TextBox 7"/>
        <xdr:cNvSpPr txBox="1"/>
      </xdr:nvSpPr>
      <xdr:spPr>
        <a:xfrm>
          <a:off x="452438" y="7248524"/>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630FB4C-A9CF-4FA4-933F-9885606CD943}" type="TxLink">
            <a:rPr lang="en-US" sz="600" b="1" i="0" u="none" strike="noStrike">
              <a:solidFill>
                <a:srgbClr val="000000"/>
              </a:solidFill>
              <a:latin typeface="Calibri"/>
            </a:rPr>
            <a:pPr/>
            <a:t>64,656</a:t>
          </a:fld>
          <a:endParaRPr lang="en-US" sz="600" b="1"/>
        </a:p>
      </xdr:txBody>
    </xdr:sp>
    <xdr:clientData/>
  </xdr:twoCellAnchor>
  <xdr:twoCellAnchor>
    <xdr:from>
      <xdr:col>2</xdr:col>
      <xdr:colOff>76200</xdr:colOff>
      <xdr:row>33</xdr:row>
      <xdr:rowOff>176212</xdr:rowOff>
    </xdr:from>
    <xdr:to>
      <xdr:col>3</xdr:col>
      <xdr:colOff>566737</xdr:colOff>
      <xdr:row>38</xdr:row>
      <xdr:rowOff>180976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33337</xdr:colOff>
      <xdr:row>33</xdr:row>
      <xdr:rowOff>185737</xdr:rowOff>
    </xdr:from>
    <xdr:to>
      <xdr:col>5</xdr:col>
      <xdr:colOff>523874</xdr:colOff>
      <xdr:row>38</xdr:row>
      <xdr:rowOff>190501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595313</xdr:colOff>
      <xdr:row>34</xdr:row>
      <xdr:rowOff>0</xdr:rowOff>
    </xdr:from>
    <xdr:to>
      <xdr:col>7</xdr:col>
      <xdr:colOff>476250</xdr:colOff>
      <xdr:row>38</xdr:row>
      <xdr:rowOff>195264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409575</xdr:colOff>
      <xdr:row>38</xdr:row>
      <xdr:rowOff>23812</xdr:rowOff>
    </xdr:from>
    <xdr:to>
      <xdr:col>3</xdr:col>
      <xdr:colOff>223837</xdr:colOff>
      <xdr:row>38</xdr:row>
      <xdr:rowOff>142875</xdr:rowOff>
    </xdr:to>
    <xdr:sp macro="" textlink="'Cluster indicator'!D54">
      <xdr:nvSpPr>
        <xdr:cNvPr id="22" name="TextBox 21"/>
        <xdr:cNvSpPr txBox="1"/>
      </xdr:nvSpPr>
      <xdr:spPr>
        <a:xfrm>
          <a:off x="1628775" y="7262812"/>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AB9415C-020F-42BB-A239-EF1F33996FC5}" type="TxLink">
            <a:rPr lang="en-US" sz="600" b="1" i="0" u="none" strike="noStrike">
              <a:solidFill>
                <a:srgbClr val="000000"/>
              </a:solidFill>
              <a:latin typeface="Calibri"/>
            </a:rPr>
            <a:pPr/>
            <a:t>86,215</a:t>
          </a:fld>
          <a:endParaRPr lang="en-US" sz="600" b="1"/>
        </a:p>
      </xdr:txBody>
    </xdr:sp>
    <xdr:clientData/>
  </xdr:twoCellAnchor>
  <xdr:twoCellAnchor>
    <xdr:from>
      <xdr:col>6</xdr:col>
      <xdr:colOff>338138</xdr:colOff>
      <xdr:row>38</xdr:row>
      <xdr:rowOff>28575</xdr:rowOff>
    </xdr:from>
    <xdr:to>
      <xdr:col>7</xdr:col>
      <xdr:colOff>152400</xdr:colOff>
      <xdr:row>38</xdr:row>
      <xdr:rowOff>147638</xdr:rowOff>
    </xdr:to>
    <xdr:sp macro="" textlink="'Cluster indicator'!D68">
      <xdr:nvSpPr>
        <xdr:cNvPr id="23" name="TextBox 21"/>
        <xdr:cNvSpPr txBox="1"/>
      </xdr:nvSpPr>
      <xdr:spPr>
        <a:xfrm>
          <a:off x="3995738" y="7267575"/>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905C41DC-F653-4825-9021-EDD28F93D8F3}" type="TxLink">
            <a:rPr lang="en-US" sz="600" b="1" i="0" u="none" strike="noStrike">
              <a:solidFill>
                <a:srgbClr val="000000"/>
              </a:solidFill>
              <a:latin typeface="Calibri"/>
            </a:rPr>
            <a:pPr/>
            <a:t>56,903</a:t>
          </a:fld>
          <a:endParaRPr lang="en-US" sz="600" b="1"/>
        </a:p>
      </xdr:txBody>
    </xdr:sp>
    <xdr:clientData/>
  </xdr:twoCellAnchor>
  <xdr:twoCellAnchor editAs="oneCell">
    <xdr:from>
      <xdr:col>0</xdr:col>
      <xdr:colOff>104775</xdr:colOff>
      <xdr:row>13</xdr:row>
      <xdr:rowOff>9525</xdr:rowOff>
    </xdr:from>
    <xdr:to>
      <xdr:col>4</xdr:col>
      <xdr:colOff>85725</xdr:colOff>
      <xdr:row>19</xdr:row>
      <xdr:rowOff>38100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107155</xdr:colOff>
      <xdr:row>3</xdr:row>
      <xdr:rowOff>130967</xdr:rowOff>
    </xdr:from>
    <xdr:to>
      <xdr:col>4</xdr:col>
      <xdr:colOff>484909</xdr:colOff>
      <xdr:row>12</xdr:row>
      <xdr:rowOff>142874</xdr:rowOff>
    </xdr:to>
    <xdr:sp macro="" textlink="">
      <xdr:nvSpPr>
        <xdr:cNvPr id="25" name="TextBox 24"/>
        <xdr:cNvSpPr txBox="1"/>
      </xdr:nvSpPr>
      <xdr:spPr>
        <a:xfrm>
          <a:off x="107155" y="702467"/>
          <a:ext cx="2802299" cy="1726407"/>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Wingdings" panose="05000000000000000000" pitchFamily="2" charset="2"/>
            <a:buChar char="ü"/>
          </a:pPr>
          <a:r>
            <a:rPr lang="en-GB" sz="520">
              <a:solidFill>
                <a:schemeClr val="dk1"/>
              </a:solidFill>
              <a:effectLst/>
              <a:latin typeface="+mn-lt"/>
              <a:ea typeface="+mn-ea"/>
              <a:cs typeface="+mn-cs"/>
            </a:rPr>
            <a:t>According to the WASH cluster members, there are still 30% of IDPs camp (46 locations) that are prone to water shortage and for which water trucking is sometimes the only solution -  IDPs camps in Hpakant township</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At the beginning of April 2016, only 41% of all IDPs camps will be targeted by WASH activities.</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There is a trend for increased movement of IDPs leading to new shelter related WASH needs,</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13 staffs from 7 WASH cluster members participated to a WASH cluster meeting on 15th march focusing on water shortage preparation in Kachin and NSS as well as on sanitation situation in the biggest IDP camps located in NGCA. </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Overall humanitarian situation in North Shan over the last months led to the displacement of more than 6700 people and requires close follow up that mobilizes the WASH actors</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On going finalization of WASH cluster strategy for 2016,</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Arrival on 16</a:t>
          </a:r>
          <a:r>
            <a:rPr lang="en-GB" sz="520" baseline="30000">
              <a:solidFill>
                <a:schemeClr val="dk1"/>
              </a:solidFill>
              <a:effectLst/>
              <a:latin typeface="+mn-lt"/>
              <a:ea typeface="+mn-ea"/>
              <a:cs typeface="+mn-cs"/>
            </a:rPr>
            <a:t>th</a:t>
          </a:r>
          <a:r>
            <a:rPr lang="en-GB" sz="520">
              <a:solidFill>
                <a:schemeClr val="dk1"/>
              </a:solidFill>
              <a:effectLst/>
              <a:latin typeface="+mn-lt"/>
              <a:ea typeface="+mn-ea"/>
              <a:cs typeface="+mn-cs"/>
            </a:rPr>
            <a:t> March of a new WASH cluster officer in Lashio to support WASH cluster response in NSS,</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Join field  Monitoring (UNICEF, Township Education Officer and ADRA) in 21 Schools of Waingmaw townhip</a:t>
          </a:r>
          <a:endParaRPr lang="en-US" sz="520">
            <a:effectLst/>
          </a:endParaRPr>
        </a:p>
        <a:p>
          <a:pPr marL="171450" indent="-171450">
            <a:buFont typeface="Wingdings" panose="05000000000000000000" pitchFamily="2" charset="2"/>
            <a:buChar char="ü"/>
          </a:pPr>
          <a:r>
            <a:rPr lang="en-GB" sz="520">
              <a:solidFill>
                <a:schemeClr val="dk1"/>
              </a:solidFill>
              <a:effectLst/>
              <a:latin typeface="+mn-lt"/>
              <a:ea typeface="+mn-ea"/>
              <a:cs typeface="+mn-cs"/>
            </a:rPr>
            <a:t>Meeting on 22</a:t>
          </a:r>
          <a:r>
            <a:rPr lang="en-GB" sz="520" baseline="30000">
              <a:solidFill>
                <a:schemeClr val="dk1"/>
              </a:solidFill>
              <a:effectLst/>
              <a:latin typeface="+mn-lt"/>
              <a:ea typeface="+mn-ea"/>
              <a:cs typeface="+mn-cs"/>
            </a:rPr>
            <a:t>nd</a:t>
          </a:r>
          <a:r>
            <a:rPr lang="en-GB" sz="520">
              <a:solidFill>
                <a:schemeClr val="dk1"/>
              </a:solidFill>
              <a:effectLst/>
              <a:latin typeface="+mn-lt"/>
              <a:ea typeface="+mn-ea"/>
              <a:cs typeface="+mn-cs"/>
            </a:rPr>
            <a:t> March with SI, Kachin State development affairs authorities and WASH cluster team about Sanitation issues in South Kachin and on-going sanitation survey carried out by SI</a:t>
          </a:r>
          <a:endParaRPr lang="en-US" sz="520">
            <a:effectLst/>
          </a:endParaRP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xdr:txBody>
    </xdr:sp>
    <xdr:clientData/>
  </xdr:twoCellAnchor>
  <xdr:twoCellAnchor editAs="oneCell">
    <xdr:from>
      <xdr:col>11</xdr:col>
      <xdr:colOff>0</xdr:colOff>
      <xdr:row>2</xdr:row>
      <xdr:rowOff>85726</xdr:rowOff>
    </xdr:from>
    <xdr:to>
      <xdr:col>14</xdr:col>
      <xdr:colOff>990601</xdr:colOff>
      <xdr:row>9</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11</xdr:col>
      <xdr:colOff>10391</xdr:colOff>
      <xdr:row>9</xdr:row>
      <xdr:rowOff>135948</xdr:rowOff>
    </xdr:from>
    <xdr:to>
      <xdr:col>14</xdr:col>
      <xdr:colOff>981941</xdr:colOff>
      <xdr:row>16</xdr:row>
      <xdr:rowOff>126423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28575</xdr:colOff>
      <xdr:row>31</xdr:row>
      <xdr:rowOff>161925</xdr:rowOff>
    </xdr:from>
    <xdr:to>
      <xdr:col>14</xdr:col>
      <xdr:colOff>981075</xdr:colOff>
      <xdr:row>38</xdr:row>
      <xdr:rowOff>142875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xdr:col>
      <xdr:colOff>591111</xdr:colOff>
      <xdr:row>2</xdr:row>
      <xdr:rowOff>84692</xdr:rowOff>
    </xdr:from>
    <xdr:to>
      <xdr:col>6</xdr:col>
      <xdr:colOff>395594</xdr:colOff>
      <xdr:row>16</xdr:row>
      <xdr:rowOff>11190</xdr:rowOff>
    </xdr:to>
    <xdr:pic>
      <xdr:nvPicPr>
        <xdr:cNvPr id="27" name="Picture 2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15656" y="465692"/>
          <a:ext cx="1016756" cy="2593498"/>
        </a:xfrm>
        <a:prstGeom prst="rect">
          <a:avLst/>
        </a:prstGeom>
        <a:noFill/>
        <a:ln>
          <a:solidFill>
            <a:schemeClr val="lt1">
              <a:shade val="50000"/>
            </a:schemeClr>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25977</xdr:colOff>
      <xdr:row>17</xdr:row>
      <xdr:rowOff>9623</xdr:rowOff>
    </xdr:from>
    <xdr:to>
      <xdr:col>14</xdr:col>
      <xdr:colOff>978477</xdr:colOff>
      <xdr:row>24</xdr:row>
      <xdr:rowOff>77933</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0.34488</cdr:x>
      <cdr:y>0.82919</cdr:y>
    </cdr:from>
    <cdr:to>
      <cdr:x>0.73016</cdr:x>
      <cdr:y>0.95356</cdr:y>
    </cdr:to>
    <cdr:sp macro="" textlink="'Cluster indicator'!$D$61">
      <cdr:nvSpPr>
        <cdr:cNvPr id="2" name="TextBox 21"/>
        <cdr:cNvSpPr txBox="1"/>
      </cdr:nvSpPr>
      <cdr:spPr>
        <a:xfrm xmlns:a="http://schemas.openxmlformats.org/drawingml/2006/main">
          <a:off x="379413" y="793750"/>
          <a:ext cx="423862" cy="1190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73BCBE89-6460-4F7E-813B-9F37582DAAB4}" type="TxLink">
            <a:rPr lang="en-US" sz="600" b="1" i="0" u="none" strike="noStrike">
              <a:solidFill>
                <a:srgbClr val="000000"/>
              </a:solidFill>
              <a:latin typeface="Calibri"/>
            </a:rPr>
            <a:pPr/>
            <a:t>80,565</a:t>
          </a:fld>
          <a:endParaRPr lang="en-US" sz="600" b="1"/>
        </a:p>
      </cdr:txBody>
    </cdr:sp>
  </cdr:relSizeAnchor>
</c:userShapes>
</file>

<file path=xl/drawings/drawing3.xml><?xml version="1.0" encoding="utf-8"?>
<xdr:wsDr xmlns:xdr="http://schemas.openxmlformats.org/drawingml/2006/spreadsheetDrawing" xmlns:a="http://schemas.openxmlformats.org/drawingml/2006/main">
  <xdr:twoCellAnchor>
    <xdr:from>
      <xdr:col>14</xdr:col>
      <xdr:colOff>688521</xdr:colOff>
      <xdr:row>1</xdr:row>
      <xdr:rowOff>112487</xdr:rowOff>
    </xdr:from>
    <xdr:to>
      <xdr:col>20</xdr:col>
      <xdr:colOff>759050</xdr:colOff>
      <xdr:row>31</xdr:row>
      <xdr:rowOff>1670</xdr:rowOff>
    </xdr:to>
    <xdr:grpSp>
      <xdr:nvGrpSpPr>
        <xdr:cNvPr id="15" name="Group 14"/>
        <xdr:cNvGrpSpPr/>
      </xdr:nvGrpSpPr>
      <xdr:grpSpPr>
        <a:xfrm>
          <a:off x="15214146" y="553018"/>
          <a:ext cx="10000342" cy="7056746"/>
          <a:chOff x="13928271" y="550637"/>
          <a:chExt cx="9995579" cy="7061508"/>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28271" y="550637"/>
            <a:ext cx="9995579" cy="7061508"/>
          </a:xfrm>
          <a:prstGeom prst="rect">
            <a:avLst/>
          </a:prstGeom>
        </xdr:spPr>
      </xdr:pic>
      <xdr:sp macro="" textlink="">
        <xdr:nvSpPr>
          <xdr:cNvPr id="32" name="Oval 31"/>
          <xdr:cNvSpPr/>
        </xdr:nvSpPr>
        <xdr:spPr>
          <a:xfrm>
            <a:off x="16182975" y="3255978"/>
            <a:ext cx="1012031" cy="721286"/>
          </a:xfrm>
          <a:prstGeom prst="ellipse">
            <a:avLst/>
          </a:prstGeom>
          <a:solidFill>
            <a:schemeClr val="bg1">
              <a:lumMod val="85000"/>
              <a:alpha val="2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Oval 39"/>
          <xdr:cNvSpPr/>
        </xdr:nvSpPr>
        <xdr:spPr>
          <a:xfrm>
            <a:off x="17621250" y="3549381"/>
            <a:ext cx="800099" cy="633265"/>
          </a:xfrm>
          <a:prstGeom prst="ellipse">
            <a:avLst/>
          </a:prstGeom>
          <a:solidFill>
            <a:schemeClr val="bg1">
              <a:lumMod val="85000"/>
              <a:alpha val="2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Oval 32"/>
          <xdr:cNvSpPr/>
        </xdr:nvSpPr>
        <xdr:spPr>
          <a:xfrm rot="18880238">
            <a:off x="16084144" y="4119399"/>
            <a:ext cx="1661222" cy="806498"/>
          </a:xfrm>
          <a:prstGeom prst="ellipse">
            <a:avLst/>
          </a:prstGeom>
          <a:solidFill>
            <a:schemeClr val="accent1">
              <a:alpha val="2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Oval 41"/>
          <xdr:cNvSpPr/>
        </xdr:nvSpPr>
        <xdr:spPr>
          <a:xfrm rot="18880238">
            <a:off x="16949626" y="5099994"/>
            <a:ext cx="1365929" cy="806498"/>
          </a:xfrm>
          <a:prstGeom prst="ellipse">
            <a:avLst/>
          </a:prstGeom>
          <a:solidFill>
            <a:schemeClr val="accent1">
              <a:alpha val="2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Text Box 2"/>
          <xdr:cNvSpPr txBox="1">
            <a:spLocks noChangeArrowheads="1"/>
          </xdr:cNvSpPr>
        </xdr:nvSpPr>
        <xdr:spPr bwMode="auto">
          <a:xfrm>
            <a:off x="16254412" y="2871786"/>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1</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38" name="Text Box 2"/>
          <xdr:cNvSpPr txBox="1">
            <a:spLocks noChangeArrowheads="1"/>
          </xdr:cNvSpPr>
        </xdr:nvSpPr>
        <xdr:spPr bwMode="auto">
          <a:xfrm>
            <a:off x="17635537" y="3193254"/>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2</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39" name="Text Box 2"/>
          <xdr:cNvSpPr txBox="1">
            <a:spLocks noChangeArrowheads="1"/>
          </xdr:cNvSpPr>
        </xdr:nvSpPr>
        <xdr:spPr bwMode="auto">
          <a:xfrm>
            <a:off x="16406813" y="4357686"/>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3</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41" name="Text Box 2"/>
          <xdr:cNvSpPr txBox="1">
            <a:spLocks noChangeArrowheads="1"/>
          </xdr:cNvSpPr>
        </xdr:nvSpPr>
        <xdr:spPr bwMode="auto">
          <a:xfrm>
            <a:off x="17183099" y="5110161"/>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4</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editAs="oneCell">
    <xdr:from>
      <xdr:col>6</xdr:col>
      <xdr:colOff>245268</xdr:colOff>
      <xdr:row>6</xdr:row>
      <xdr:rowOff>177799</xdr:rowOff>
    </xdr:from>
    <xdr:to>
      <xdr:col>13</xdr:col>
      <xdr:colOff>2128837</xdr:colOff>
      <xdr:row>23</xdr:row>
      <xdr:rowOff>47625</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21431</xdr:colOff>
      <xdr:row>27</xdr:row>
      <xdr:rowOff>131761</xdr:rowOff>
    </xdr:from>
    <xdr:to>
      <xdr:col>14</xdr:col>
      <xdr:colOff>866775</xdr:colOff>
      <xdr:row>53</xdr:row>
      <xdr:rowOff>119062</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666749</xdr:colOff>
      <xdr:row>54</xdr:row>
      <xdr:rowOff>80168</xdr:rowOff>
    </xdr:from>
    <xdr:to>
      <xdr:col>14</xdr:col>
      <xdr:colOff>923924</xdr:colOff>
      <xdr:row>75</xdr:row>
      <xdr:rowOff>170347</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76198</xdr:colOff>
      <xdr:row>111</xdr:row>
      <xdr:rowOff>155574</xdr:rowOff>
    </xdr:from>
    <xdr:to>
      <xdr:col>13</xdr:col>
      <xdr:colOff>2519025</xdr:colOff>
      <xdr:row>128</xdr:row>
      <xdr:rowOff>130968</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60363</xdr:colOff>
      <xdr:row>129</xdr:row>
      <xdr:rowOff>166688</xdr:rowOff>
    </xdr:from>
    <xdr:to>
      <xdr:col>13</xdr:col>
      <xdr:colOff>2714625</xdr:colOff>
      <xdr:row>147</xdr:row>
      <xdr:rowOff>119062</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426243</xdr:colOff>
      <xdr:row>251</xdr:row>
      <xdr:rowOff>112713</xdr:rowOff>
    </xdr:from>
    <xdr:to>
      <xdr:col>15</xdr:col>
      <xdr:colOff>401398</xdr:colOff>
      <xdr:row>272</xdr:row>
      <xdr:rowOff>23813</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271461</xdr:colOff>
      <xdr:row>294</xdr:row>
      <xdr:rowOff>137320</xdr:rowOff>
    </xdr:from>
    <xdr:to>
      <xdr:col>13</xdr:col>
      <xdr:colOff>1809749</xdr:colOff>
      <xdr:row>312</xdr:row>
      <xdr:rowOff>132633</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188118</xdr:colOff>
      <xdr:row>346</xdr:row>
      <xdr:rowOff>86518</xdr:rowOff>
    </xdr:from>
    <xdr:to>
      <xdr:col>13</xdr:col>
      <xdr:colOff>2838184</xdr:colOff>
      <xdr:row>368</xdr:row>
      <xdr:rowOff>71438</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195262</xdr:colOff>
      <xdr:row>371</xdr:row>
      <xdr:rowOff>11906</xdr:rowOff>
    </xdr:from>
    <xdr:to>
      <xdr:col>13</xdr:col>
      <xdr:colOff>2850506</xdr:colOff>
      <xdr:row>390</xdr:row>
      <xdr:rowOff>166687</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223836</xdr:colOff>
      <xdr:row>393</xdr:row>
      <xdr:rowOff>61117</xdr:rowOff>
    </xdr:from>
    <xdr:to>
      <xdr:col>13</xdr:col>
      <xdr:colOff>1678779</xdr:colOff>
      <xdr:row>411</xdr:row>
      <xdr:rowOff>11866</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5</xdr:col>
      <xdr:colOff>254793</xdr:colOff>
      <xdr:row>412</xdr:row>
      <xdr:rowOff>175420</xdr:rowOff>
    </xdr:from>
    <xdr:to>
      <xdr:col>13</xdr:col>
      <xdr:colOff>1893521</xdr:colOff>
      <xdr:row>422</xdr:row>
      <xdr:rowOff>35719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3</xdr:col>
      <xdr:colOff>2295896</xdr:colOff>
      <xdr:row>427</xdr:row>
      <xdr:rowOff>145256</xdr:rowOff>
    </xdr:from>
    <xdr:to>
      <xdr:col>12</xdr:col>
      <xdr:colOff>599480</xdr:colOff>
      <xdr:row>445</xdr:row>
      <xdr:rowOff>83343</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5</xdr:col>
      <xdr:colOff>565755</xdr:colOff>
      <xdr:row>168</xdr:row>
      <xdr:rowOff>119062</xdr:rowOff>
    </xdr:from>
    <xdr:to>
      <xdr:col>14</xdr:col>
      <xdr:colOff>536619</xdr:colOff>
      <xdr:row>185</xdr:row>
      <xdr:rowOff>71436</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5</xdr:col>
      <xdr:colOff>333374</xdr:colOff>
      <xdr:row>314</xdr:row>
      <xdr:rowOff>15606</xdr:rowOff>
    </xdr:from>
    <xdr:to>
      <xdr:col>14</xdr:col>
      <xdr:colOff>23812</xdr:colOff>
      <xdr:row>325</xdr:row>
      <xdr:rowOff>157164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xdr:col>
      <xdr:colOff>155573</xdr:colOff>
      <xdr:row>561</xdr:row>
      <xdr:rowOff>3174</xdr:rowOff>
    </xdr:from>
    <xdr:to>
      <xdr:col>13</xdr:col>
      <xdr:colOff>2074069</xdr:colOff>
      <xdr:row>579</xdr:row>
      <xdr:rowOff>95249</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133349</xdr:colOff>
      <xdr:row>583</xdr:row>
      <xdr:rowOff>31749</xdr:rowOff>
    </xdr:from>
    <xdr:to>
      <xdr:col>13</xdr:col>
      <xdr:colOff>2083595</xdr:colOff>
      <xdr:row>598</xdr:row>
      <xdr:rowOff>142874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6</xdr:col>
      <xdr:colOff>184148</xdr:colOff>
      <xdr:row>600</xdr:row>
      <xdr:rowOff>0</xdr:rowOff>
    </xdr:from>
    <xdr:to>
      <xdr:col>13</xdr:col>
      <xdr:colOff>2045493</xdr:colOff>
      <xdr:row>619</xdr:row>
      <xdr:rowOff>35718</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6</xdr:col>
      <xdr:colOff>209548</xdr:colOff>
      <xdr:row>622</xdr:row>
      <xdr:rowOff>104774</xdr:rowOff>
    </xdr:from>
    <xdr:to>
      <xdr:col>13</xdr:col>
      <xdr:colOff>2166937</xdr:colOff>
      <xdr:row>643</xdr:row>
      <xdr:rowOff>47625</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6</xdr:col>
      <xdr:colOff>260348</xdr:colOff>
      <xdr:row>650</xdr:row>
      <xdr:rowOff>101600</xdr:rowOff>
    </xdr:from>
    <xdr:to>
      <xdr:col>13</xdr:col>
      <xdr:colOff>2007393</xdr:colOff>
      <xdr:row>664</xdr:row>
      <xdr:rowOff>177800</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257175</xdr:colOff>
      <xdr:row>670</xdr:row>
      <xdr:rowOff>165100</xdr:rowOff>
    </xdr:from>
    <xdr:to>
      <xdr:col>13</xdr:col>
      <xdr:colOff>2055019</xdr:colOff>
      <xdr:row>685</xdr:row>
      <xdr:rowOff>171450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xdr:col>
      <xdr:colOff>590549</xdr:colOff>
      <xdr:row>152</xdr:row>
      <xdr:rowOff>61912</xdr:rowOff>
    </xdr:from>
    <xdr:to>
      <xdr:col>13</xdr:col>
      <xdr:colOff>1874043</xdr:colOff>
      <xdr:row>166</xdr:row>
      <xdr:rowOff>138112</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2</xdr:col>
      <xdr:colOff>4764</xdr:colOff>
      <xdr:row>226</xdr:row>
      <xdr:rowOff>130969</xdr:rowOff>
    </xdr:from>
    <xdr:to>
      <xdr:col>10</xdr:col>
      <xdr:colOff>308193</xdr:colOff>
      <xdr:row>246</xdr:row>
      <xdr:rowOff>59531</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xdr:col>
      <xdr:colOff>381000</xdr:colOff>
      <xdr:row>328</xdr:row>
      <xdr:rowOff>12399</xdr:rowOff>
    </xdr:from>
    <xdr:to>
      <xdr:col>14</xdr:col>
      <xdr:colOff>464343</xdr:colOff>
      <xdr:row>336</xdr:row>
      <xdr:rowOff>119061</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552449</xdr:colOff>
      <xdr:row>79</xdr:row>
      <xdr:rowOff>152400</xdr:rowOff>
    </xdr:from>
    <xdr:to>
      <xdr:col>22</xdr:col>
      <xdr:colOff>888206</xdr:colOff>
      <xdr:row>103</xdr:row>
      <xdr:rowOff>47626</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5</xdr:col>
      <xdr:colOff>316705</xdr:colOff>
      <xdr:row>277</xdr:row>
      <xdr:rowOff>183357</xdr:rowOff>
    </xdr:from>
    <xdr:to>
      <xdr:col>14</xdr:col>
      <xdr:colOff>160675</xdr:colOff>
      <xdr:row>291</xdr:row>
      <xdr:rowOff>119063</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371475</xdr:colOff>
      <xdr:row>191</xdr:row>
      <xdr:rowOff>19049</xdr:rowOff>
    </xdr:from>
    <xdr:to>
      <xdr:col>13</xdr:col>
      <xdr:colOff>2216944</xdr:colOff>
      <xdr:row>212</xdr:row>
      <xdr:rowOff>180975</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6</xdr:col>
      <xdr:colOff>300908</xdr:colOff>
      <xdr:row>687</xdr:row>
      <xdr:rowOff>130969</xdr:rowOff>
    </xdr:from>
    <xdr:to>
      <xdr:col>13</xdr:col>
      <xdr:colOff>2410994</xdr:colOff>
      <xdr:row>709</xdr:row>
      <xdr:rowOff>95250</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547688</xdr:colOff>
      <xdr:row>742</xdr:row>
      <xdr:rowOff>69058</xdr:rowOff>
    </xdr:from>
    <xdr:to>
      <xdr:col>13</xdr:col>
      <xdr:colOff>762001</xdr:colOff>
      <xdr:row>758</xdr:row>
      <xdr:rowOff>71438</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119062</xdr:colOff>
      <xdr:row>763</xdr:row>
      <xdr:rowOff>152398</xdr:rowOff>
    </xdr:from>
    <xdr:to>
      <xdr:col>13</xdr:col>
      <xdr:colOff>940593</xdr:colOff>
      <xdr:row>780</xdr:row>
      <xdr:rowOff>59529</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607218</xdr:colOff>
      <xdr:row>467</xdr:row>
      <xdr:rowOff>107157</xdr:rowOff>
    </xdr:from>
    <xdr:to>
      <xdr:col>11</xdr:col>
      <xdr:colOff>71436</xdr:colOff>
      <xdr:row>559</xdr:row>
      <xdr:rowOff>71439</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976312</xdr:colOff>
      <xdr:row>464</xdr:row>
      <xdr:rowOff>119063</xdr:rowOff>
    </xdr:from>
    <xdr:to>
      <xdr:col>9</xdr:col>
      <xdr:colOff>452437</xdr:colOff>
      <xdr:row>466</xdr:row>
      <xdr:rowOff>119063</xdr:rowOff>
    </xdr:to>
    <xdr:sp macro="" textlink="">
      <xdr:nvSpPr>
        <xdr:cNvPr id="21" name="Rounded Rectangle 20"/>
        <xdr:cNvSpPr/>
      </xdr:nvSpPr>
      <xdr:spPr>
        <a:xfrm>
          <a:off x="3393281" y="95333344"/>
          <a:ext cx="6941344" cy="381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a:t>Project Ending Date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741680</xdr:colOff>
      <xdr:row>4</xdr:row>
      <xdr:rowOff>10160</xdr:rowOff>
    </xdr:from>
    <xdr:to>
      <xdr:col>13</xdr:col>
      <xdr:colOff>373380</xdr:colOff>
      <xdr:row>18</xdr:row>
      <xdr:rowOff>185420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767080</xdr:colOff>
      <xdr:row>143</xdr:row>
      <xdr:rowOff>147320</xdr:rowOff>
    </xdr:from>
    <xdr:to>
      <xdr:col>12</xdr:col>
      <xdr:colOff>444500</xdr:colOff>
      <xdr:row>154</xdr:row>
      <xdr:rowOff>172720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139700</xdr:colOff>
      <xdr:row>157</xdr:row>
      <xdr:rowOff>199390</xdr:rowOff>
    </xdr:from>
    <xdr:to>
      <xdr:col>15</xdr:col>
      <xdr:colOff>627380</xdr:colOff>
      <xdr:row>169</xdr:row>
      <xdr:rowOff>149860</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91440</xdr:colOff>
      <xdr:row>174</xdr:row>
      <xdr:rowOff>125730</xdr:rowOff>
    </xdr:from>
    <xdr:to>
      <xdr:col>16</xdr:col>
      <xdr:colOff>63500</xdr:colOff>
      <xdr:row>187</xdr:row>
      <xdr:rowOff>63500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782955</xdr:colOff>
      <xdr:row>113</xdr:row>
      <xdr:rowOff>12700</xdr:rowOff>
    </xdr:from>
    <xdr:to>
      <xdr:col>12</xdr:col>
      <xdr:colOff>482600</xdr:colOff>
      <xdr:row>126</xdr:row>
      <xdr:rowOff>101600</xdr:rowOff>
    </xdr:to>
    <xdr:graphicFrame macro="">
      <xdr:nvGraphicFramePr>
        <xdr:cNvPr id="6"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635000</xdr:colOff>
      <xdr:row>52</xdr:row>
      <xdr:rowOff>111760</xdr:rowOff>
    </xdr:from>
    <xdr:to>
      <xdr:col>12</xdr:col>
      <xdr:colOff>609600</xdr:colOff>
      <xdr:row>62</xdr:row>
      <xdr:rowOff>190500</xdr:rowOff>
    </xdr:to>
    <xdr:graphicFrame macro="">
      <xdr:nvGraphicFramePr>
        <xdr:cNvPr id="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469900</xdr:colOff>
      <xdr:row>75</xdr:row>
      <xdr:rowOff>190500</xdr:rowOff>
    </xdr:from>
    <xdr:to>
      <xdr:col>11</xdr:col>
      <xdr:colOff>38100</xdr:colOff>
      <xdr:row>94</xdr:row>
      <xdr:rowOff>152400</xdr:rowOff>
    </xdr:to>
    <xdr:graphicFrame macro="">
      <xdr:nvGraphicFramePr>
        <xdr:cNvPr id="8"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533400</xdr:colOff>
      <xdr:row>98</xdr:row>
      <xdr:rowOff>101600</xdr:rowOff>
    </xdr:from>
    <xdr:to>
      <xdr:col>12</xdr:col>
      <xdr:colOff>370840</xdr:colOff>
      <xdr:row>110</xdr:row>
      <xdr:rowOff>30480</xdr:rowOff>
    </xdr:to>
    <xdr:graphicFrame macro="">
      <xdr:nvGraphicFramePr>
        <xdr:cNvPr id="9"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779780</xdr:colOff>
      <xdr:row>129</xdr:row>
      <xdr:rowOff>10160</xdr:rowOff>
    </xdr:from>
    <xdr:to>
      <xdr:col>12</xdr:col>
      <xdr:colOff>421640</xdr:colOff>
      <xdr:row>143</xdr:row>
      <xdr:rowOff>55880</xdr:rowOff>
    </xdr:to>
    <xdr:graphicFrame macro="">
      <xdr:nvGraphicFramePr>
        <xdr:cNvPr id="10"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751840</xdr:colOff>
      <xdr:row>27</xdr:row>
      <xdr:rowOff>497840</xdr:rowOff>
    </xdr:from>
    <xdr:to>
      <xdr:col>13</xdr:col>
      <xdr:colOff>81280</xdr:colOff>
      <xdr:row>49</xdr:row>
      <xdr:rowOff>128905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OD%20270\AppData\Roaming\Microsoft\Excel\AppData\Local\Temp\notesC2BC19\15-10-2013_4W_Wash_Matrix_Summary_Rakh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Analysis"/>
      <sheetName val="List"/>
      <sheetName val="CalculateSheet"/>
      <sheetName val="temp Database"/>
    </sheetNames>
    <sheetDataSet>
      <sheetData sheetId="0"/>
      <sheetData sheetId="1"/>
      <sheetData sheetId="2"/>
      <sheetData sheetId="3">
        <row r="3">
          <cell r="B3" t="str">
            <v>Yes</v>
          </cell>
        </row>
        <row r="4">
          <cell r="B4" t="str">
            <v>No</v>
          </cell>
        </row>
        <row r="5">
          <cell r="B5" t="str">
            <v>Never deployed</v>
          </cell>
        </row>
        <row r="6">
          <cell r="B6" t="str">
            <v>Done</v>
          </cell>
        </row>
      </sheetData>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hein Tun Hlaing" refreshedDate="42457.47254490741" createdVersion="5" refreshedVersion="5" minRefreshableVersion="3" recordCount="69">
  <cacheSource type="worksheet">
    <worksheetSource ref="C4:AI73" sheet="Agency funds received"/>
  </cacheSource>
  <cacheFields count="33">
    <cacheField name="Agency leading the project" numFmtId="0">
      <sharedItems count="17">
        <s v="CESVI"/>
        <s v="ADRA"/>
        <s v="DWHH"/>
        <s v="HIDA"/>
        <s v="KBC"/>
        <s v="KMSS"/>
        <s v="Merlin"/>
        <s v="Metta"/>
        <s v="Oxfam GB"/>
        <s v="Plan"/>
        <s v="SCI"/>
        <s v="Shalom"/>
        <s v="Solidarités International"/>
        <s v="Trocaire"/>
        <s v="UNICEF"/>
        <s v="Solidarites" u="1"/>
        <s v="Solidarities" u="1"/>
      </sharedItems>
    </cacheField>
    <cacheField name="Implementing or consortium partner  " numFmtId="0">
      <sharedItems containsBlank="1"/>
    </cacheField>
    <cacheField name="Donor" numFmtId="0">
      <sharedItems count="26">
        <s v="UNICEF"/>
        <s v="ECHO"/>
        <s v="CIDA"/>
        <s v="Germany"/>
        <s v="Canada"/>
        <s v="ERF"/>
        <s v="Start fund"/>
        <s v="FCA"/>
        <s v="HIDA"/>
        <s v="WHH"/>
        <s v="Australian"/>
        <s v="DFAT"/>
        <s v="SC seed funding"/>
        <s v="OFDA"/>
        <s v="SIDA"/>
        <s v="France"/>
        <s v="DFID"/>
        <s v="CERF"/>
        <s v="Japan"/>
        <s v="Sweden"/>
        <s v="HMSF" u="1"/>
        <s v="DFATD (CIDA)" u="1"/>
        <s v="DIFID" u="1"/>
        <s v="Irland" u="1"/>
        <s v="HIDA( HOPE)" u="1"/>
        <s v="OCHA" u="1"/>
      </sharedItems>
    </cacheField>
    <cacheField name="cofunding donors" numFmtId="0">
      <sharedItems containsNonDate="0" containsString="0" containsBlank="1"/>
    </cacheField>
    <cacheField name="Name of the project" numFmtId="0">
      <sharedItems containsBlank="1"/>
    </cacheField>
    <cacheField name="Project start date _x000a_ dd/mm/yy" numFmtId="0">
      <sharedItems containsDate="1" containsMixedTypes="1" minDate="2012-01-04T00:00:00" maxDate="2015-10-02T00:00:00"/>
    </cacheField>
    <cacheField name="Project end date  dd/mm/yy" numFmtId="0">
      <sharedItems containsDate="1" containsBlank="1" containsMixedTypes="1" minDate="2012-04-30T00:00:00" maxDate="2016-10-01T00:00:00"/>
    </cacheField>
    <cacheField name="Status of the project" numFmtId="0">
      <sharedItems/>
    </cacheField>
    <cacheField name="Year fund received" numFmtId="0">
      <sharedItems containsSemiMixedTypes="0" containsString="0" containsNumber="1" containsInteger="1" minValue="2012" maxValue="2015" count="4">
        <n v="2012"/>
        <n v="2013"/>
        <n v="2014"/>
        <n v="2015"/>
      </sharedItems>
    </cacheField>
    <cacheField name="Total Nb of wash beneficiaries" numFmtId="0">
      <sharedItems containsString="0" containsBlank="1" containsNumber="1" containsInteger="1" minValue="0" maxValue="86740"/>
    </cacheField>
    <cacheField name="Approximative % of NGCA beneficiaries" numFmtId="9">
      <sharedItems containsString="0" containsBlank="1" containsNumber="1" minValue="0" maxValue="0.93"/>
    </cacheField>
    <cacheField name="Approximative % of GCA beneficiaries" numFmtId="9">
      <sharedItems containsBlank="1" containsMixedTypes="1" containsNumber="1" minValue="6.9999999999999951E-2" maxValue="1"/>
    </cacheField>
    <cacheField name="% Northern Shan" numFmtId="9">
      <sharedItems containsString="0" containsBlank="1" containsNumber="1" minValue="0" maxValue="1"/>
    </cacheField>
    <cacheField name="%South Kachin" numFmtId="9">
      <sharedItems containsString="0" containsBlank="1" containsNumber="1" minValue="0" maxValue="1"/>
    </cacheField>
    <cacheField name="%North kachin" numFmtId="9">
      <sharedItems containsString="0" containsBlank="1" containsNumber="1" minValue="0" maxValue="1"/>
    </cacheField>
    <cacheField name="Approximate % of beneficiaries in camps" numFmtId="9">
      <sharedItems containsString="0" containsBlank="1" containsNumber="1" minValue="7.0000000000000007E-2" maxValue="1"/>
    </cacheField>
    <cacheField name="Approximate % of beneficiaries in host community" numFmtId="9">
      <sharedItems containsString="0" containsBlank="1" containsNumber="1" minValue="0" maxValue="0.93"/>
    </cacheField>
    <cacheField name="Nb of sanitation beneficiaries plan" numFmtId="0">
      <sharedItems containsString="0" containsBlank="1" containsNumber="1" containsInteger="1" minValue="0" maxValue="86580"/>
    </cacheField>
    <cacheField name="Nb of water access beneficiaries plan" numFmtId="0">
      <sharedItems containsString="0" containsBlank="1" containsNumber="1" containsInteger="1" minValue="0" maxValue="86822"/>
    </cacheField>
    <cacheField name="Nb of beneficiairies for HE" numFmtId="0">
      <sharedItems containsString="0" containsBlank="1" containsNumber="1" containsInteger="1" minValue="0" maxValue="86822"/>
    </cacheField>
    <cacheField name="Nb of sanitation beneficiaries plan2" numFmtId="0">
      <sharedItems containsString="0" containsBlank="1" containsNumber="1" containsInteger="1" minValue="0" maxValue="22000"/>
    </cacheField>
    <cacheField name="Nb of water access beneficiaries plan2" numFmtId="0">
      <sharedItems containsString="0" containsBlank="1" containsNumber="1" containsInteger="1" minValue="0" maxValue="8788"/>
    </cacheField>
    <cacheField name="Nb of beneficiairies for HE2" numFmtId="0">
      <sharedItems containsString="0" containsBlank="1" containsNumber="1" containsInteger="1" minValue="0" maxValue="30788"/>
    </cacheField>
    <cacheField name="Total budget of the project US$. For only WASH related cost (including related support costs)" numFmtId="3">
      <sharedItems containsString="0" containsBlank="1" containsNumber="1" minValue="3031.5058823529412" maxValue="1652740"/>
    </cacheField>
    <cacheField name="Approximate fund before 2014 regarding project date implementation" numFmtId="3">
      <sharedItems containsSemiMixedTypes="0" containsString="0" containsNumber="1" minValue="0" maxValue="1067394.5833333333"/>
    </cacheField>
    <cacheField name="Approximate fund 2014 regarding project date implementation" numFmtId="3">
      <sharedItems containsSemiMixedTypes="0" containsString="0" containsNumber="1" minValue="0" maxValue="1520909.0013263728" count="49">
        <n v="0"/>
        <n v="176992.66666666666"/>
        <n v="182953.04347826086"/>
        <n v="102605.93571428572"/>
        <n v="201418"/>
        <n v="10128.991780821918"/>
        <n v="337220.99"/>
        <n v="121121.92640883979"/>
        <n v="43482"/>
        <n v="151841.64537444935"/>
        <n v="100963.83480176212"/>
        <n v="37538.200440528635"/>
        <n v="439801.04303797468"/>
        <n v="56456.176470588231"/>
        <n v="17000"/>
        <n v="68330.480733944947"/>
        <n v="80400"/>
        <n v="343632.61410788383"/>
        <n v="180399.7676056338"/>
        <n v="298146.15434083604"/>
        <n v="328256.45604395604"/>
        <n v="216595.33333333337"/>
        <n v="78945"/>
        <n v="82055.812182741123"/>
        <n v="240768.59504132232"/>
        <n v="69573.529411764699"/>
        <n v="315019.41758241761"/>
        <n v="79925.586080586087"/>
        <n v="322388.15331010451"/>
        <n v="700000"/>
        <n v="564560.43956043955"/>
        <n v="585345.41666666674"/>
        <n v="50000"/>
        <n v="104552.48618784532" u="1"/>
        <n v="1520909.0013263728" u="1"/>
        <n v="972.74010109523078" u="1"/>
        <n v="309421.48760330578" u="1"/>
        <n v="288461.43" u="1"/>
        <n v="350000" u="1"/>
        <n v="210747.24540901504" u="1"/>
        <n v="750000" u="1"/>
        <n v="455030" u="1"/>
        <n v="200000" u="1"/>
        <n v="92794.488397790061" u="1"/>
        <n v="249000" u="1"/>
        <n v="939498.21854084812" u="1"/>
        <n v="220997.4" u="1"/>
        <n v="216000.29120879126" u="1"/>
        <n v="469947" u="1"/>
      </sharedItems>
    </cacheField>
    <cacheField name="Approximate Fund 2015 regarding project date implementation" numFmtId="3">
      <sharedItems containsSemiMixedTypes="0" containsString="0" containsNumber="1" minValue="0" maxValue="443223.44322344323"/>
    </cacheField>
    <cacheField name="Approximate Fund 2016 regarding project date implementation" numFmtId="3">
      <sharedItems containsSemiMixedTypes="0" containsString="0" containsNumber="1" minValue="0" maxValue="556776.55677655677"/>
    </cacheField>
    <cacheField name="Approximate fund % dedicated to camps population only" numFmtId="0">
      <sharedItems containsString="0" containsBlank="1" containsNumber="1" minValue="0.04" maxValue="1"/>
    </cacheField>
    <cacheField name="Approximate % of fund dedicated to sanitation" numFmtId="9">
      <sharedItems containsString="0" containsBlank="1" containsNumber="1" minValue="0" maxValue="1"/>
    </cacheField>
    <cacheField name="Approximate % fund dedicated to Water access" numFmtId="9">
      <sharedItems containsString="0" containsBlank="1" containsNumber="1" minValue="0" maxValue="0.95"/>
    </cacheField>
    <cacheField name="Approximate % of fund dedicated to HP" numFmtId="9">
      <sharedItems containsBlank="1" containsMixedTypes="1" containsNumber="1" minValue="0" maxValue="1"/>
    </cacheField>
    <cacheField name="Miscellaneous Comments on projec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ein Tun Hlaing" refreshedDate="42457.472546643519" createdVersion="5" refreshedVersion="5" minRefreshableVersion="3" recordCount="172">
  <cacheSource type="worksheet">
    <worksheetSource ref="B4:CP176" sheet="Database"/>
  </cacheSource>
  <cacheFields count="103">
    <cacheField name="Township" numFmtId="0">
      <sharedItems count="20">
        <s v="Bhamo"/>
        <s v="Chipwi"/>
        <s v="Hpakan"/>
        <s v="Hseni"/>
        <s v="Khaunglanhpu"/>
        <s v="Kutkai"/>
        <s v="Mansi"/>
        <s v="Manton"/>
        <s v="Mogaung"/>
        <s v="Mohnyin"/>
        <s v="Momauk"/>
        <s v="Muse"/>
        <s v="Myitkyina"/>
        <s v="Namkham"/>
        <s v="Namtu"/>
        <s v="Puta-O"/>
        <s v="Shwegu"/>
        <s v="Sumprabum"/>
        <s v="Waingmaw"/>
        <s v="Machanbaw" u="1"/>
      </sharedItems>
    </cacheField>
    <cacheField name="Camp_P_Code" numFmtId="0">
      <sharedItems containsBlank="1"/>
    </cacheField>
    <cacheField name="Zoning cluster location" numFmtId="0">
      <sharedItems count="10">
        <s v="Cluster 4"/>
        <s v="Cluster 10"/>
        <s v="Cluster 1"/>
        <s v="Cluster 8"/>
        <s v="Cluster 6"/>
        <s v="Cluster 7"/>
        <s v="Cluster 9"/>
        <s v="Cluster 3"/>
        <s v="Cluster 5"/>
        <s v="Cluster 2"/>
      </sharedItems>
    </cacheField>
    <cacheField name="Site" numFmtId="0">
      <sharedItems count="212">
        <s v="AD-2000 Extension camp"/>
        <s v="AD-2000 Tharthana Compound*"/>
        <s v="Aung Thar Church"/>
        <s v="Bhamo Host Families"/>
        <s v="Htoi San Church*"/>
        <s v="Lisu Boarding-House"/>
        <s v="Mu-yin Baptist Church"/>
        <s v="Nant Hlaing Church"/>
        <s v="Phan Khar Kone*"/>
        <s v="Robert Church*"/>
        <s v="Ta Gun Taing Monastery (Shwe Kyi Na)"/>
        <s v="Yoe Kyi Monastery"/>
        <s v="Chipwi (School coumpound)"/>
        <s v="Chipwi KBC camp"/>
        <s v="Hpare Hkyer - BP6"/>
        <s v="Lhaovao Baptist Church (LBC)"/>
        <s v="Pan Wa"/>
        <s v="Pan Wa (Saw Zam) camp "/>
        <s v="5 Ward Baptist Church(lon Khin)"/>
        <s v="5 Ward RC Church(lon Khin)"/>
        <s v="AG Church, Hmaw Si Sa"/>
        <s v="AG Church, Maw Wan"/>
        <s v="Baptist Church, Hmaw Si Sar(Lon Khin)"/>
        <s v="Baptist Church, Naung Hmee VT"/>
        <s v="Chin Church, Seik Mu"/>
        <s v="Dhama Rakhita, Nyein Chan Tar Yar Ward(Lon Khin)"/>
        <s v="Hlaing Naung Baptist"/>
        <s v="Hmaw Wan, Anglican"/>
        <s v="Hpakant Baptist Church, Nam Ma Hpit"/>
        <s v="Ku Day Maw KBC"/>
        <s v="Lisu Baptist Church, Maw Shan Vil,. Seik Mu"/>
        <s v="Lisu Baptist Church, Maw Wan Ward"/>
        <s v="Maw Wan, Mu-yin Baptist Church"/>
        <s v="Nam Ma Phyit, COC"/>
        <s v="Nant Ma Hpit Catholic Church"/>
        <s v="Rawan Baptist Church, Maw Shan Vil., Seik Mu"/>
        <s v="Sai Nai Baptish Church, Maw Shan Vil., Seki Mu"/>
        <s v="Ward 2 Sai Taung Baptist Church, Seik Mu "/>
        <s v="Yumar Baptist Church"/>
        <s v="Nam Sa Larp"/>
        <s v="Narte"/>
        <s v="La Ja"/>
        <s v="Kone Khem Camp"/>
        <s v="Kutkai (host High School)"/>
        <s v="Kutkai downtown (KBC Church)"/>
        <s v="Kutkai downtown (RC Church)"/>
        <s v="Mine Yu Lay village"/>
        <s v="Mungji Pa Dabang (Baptist Church)         "/>
        <s v="Mungji Pa Dabang (RC Church)         "/>
        <s v="Nam Hpak Ka Mare "/>
        <s v="Nampaka (Man Mau host school)"/>
        <s v="Pan Ku"/>
        <s v="Zup Aung Camp"/>
        <s v="Bum Tsit Pa * (1)"/>
        <s v="Bum Tsit Pa * (2)"/>
        <s v="Bum Tsit Pa * (3)"/>
        <s v="Clutural Compound"/>
        <s v="Lana Zup Ja *"/>
        <s v="Maing Khaung Baptist Church"/>
        <s v="Maing Khaung Catholic Church"/>
        <s v="Man Wing Baptist Church*"/>
        <s v="Man Wing Catholic Church*"/>
        <s v="Man wing gyi (host school)"/>
        <s v="Man Wing Host Families"/>
        <s v="Mansi Baptist Church*"/>
        <s v="Mansi Host Families"/>
        <s v="MWG -RC2"/>
        <s v="Mandung - Jinghpaw"/>
        <s v="Mandung - RC"/>
        <s v="Kyun Taw Baptist Church "/>
        <s v="Ma Hawng RC "/>
        <s v="Mang Hawng Baptist Church"/>
        <s v="Nat Gyi Kone Baptist Church "/>
        <s v="Sar Hmaw - KBC"/>
        <s v="Sar Maw-ICM"/>
        <s v="Hopin Host Families"/>
        <s v="Moenyin Host Families"/>
        <s v="Nawng Ing (Indawgyi) Baptist Church  "/>
        <s v="St. Patrick Catholic Church "/>
        <s v="Agritural Compound (KBC)"/>
        <s v="Dawthponeyan Boarding School"/>
        <s v="Dum Bung "/>
        <s v="Hpun Lum Yang "/>
        <s v="Je Yang Hka "/>
        <s v="Kachin Su Baptist Church (ECCD)"/>
        <s v="Khar Nan (1) Baptist Church"/>
        <s v="Khun Sint Village"/>
        <s v="Loi Je Seng Ja Extention"/>
        <s v="Loi Je Catholic Church"/>
        <s v="Loi Je Lisu  (1) Camp"/>
        <s v="Loi Je Lisu  (2) Camp"/>
        <s v="Loi Je Lisu  (3) Camp"/>
        <s v="Loi Je Lisu  (4) Camp"/>
        <s v="Loi Je Nyaung Na Pin "/>
        <s v="Loi Je RC Boarding School"/>
        <s v="Loi Je Seng Ja "/>
        <s v="Mai Khat "/>
        <s v="Man Bung Catholic compound"/>
        <s v="Man Bung Edin Baptist Church"/>
        <s v="Man Nawng "/>
        <s v="Mandalay Monestry"/>
        <s v="Momauk Baptist Church"/>
        <s v="Momauk Host Families"/>
        <s v="Myo Thit "/>
        <s v="Nhkawng Pa "/>
        <s v="Ni Thaw Ka Monestry"/>
        <s v="Pa Kahtawng 1 A"/>
        <s v="Pa Kahtawng 1B"/>
        <s v="Pa Kahtawng 2"/>
        <s v="Pa Kahtawng Boarding High School "/>
        <s v="Pa Kahtawng Boarding Middle School "/>
        <s v="Pa Kahtawng Host Families"/>
        <s v="Pa Kahtawng Primary House"/>
        <s v="Phar Kay/Nant Waing "/>
        <s v="Tarli "/>
        <s v="Hpai Kawng Mare"/>
        <s v="Munekoe Pa (Giwang) - Hka San (Mung  Go  Pa ) "/>
        <s v="Mung Baw "/>
        <s v="Muse KBC Church"/>
        <s v="Muse RC Church"/>
        <s v="Du Kahtawng Qtr. 14"/>
        <s v="Du Kahtawng Qtr. 4"/>
        <s v="Du Kahtawng Qtr. 5"/>
        <s v="Jan Mai Kawng Baptist Church"/>
        <s v="Jan Mai Kawng Catholic Church"/>
        <s v="Kyun Pin Thar Baptist Church"/>
        <s v="Le Kone Bethlehem Church"/>
        <s v="Le Kone Ziun Baptist Church "/>
        <s v="Maliyang Baptist Church"/>
        <s v="Man Hkring Baptist Church"/>
        <s v="Maw Hpawng Hka Nan Baptist Church"/>
        <s v="Maw Hpawng Lhaovo Baptist Church"/>
        <s v="Nan Kway St. John Catholic Church"/>
        <s v="Njang Dung Baptist Church "/>
        <s v="Pa Dauk Myaing(Pa La Na)"/>
        <s v="Shatapru Sut Ngai Tawng"/>
        <s v="Shatapru Thida Aye Baptist Church"/>
        <s v="Shwe Zet Baptist Church"/>
        <s v="Tat Kone (Ra Da Kawng)"/>
        <s v="Tat Kone Baptist Church"/>
        <s v="Tat Kone Emanuel Church"/>
        <s v="Tat Kone Galile Baptist Church"/>
        <s v="Tat Kone San Pya Baptist Church"/>
        <s v="Wun Tho Buddhist Monastery"/>
        <s v="Bang Lung"/>
        <s v="Jaw 2"/>
        <s v="Nam Hkam - Nay Win Ni (Palawng)"/>
        <s v="Nam Hkam (KBC Jaw Wang)"/>
        <s v="Nam Hkam Catholic Church ( St. Thomas I)"/>
        <s v="Nam Tu RC"/>
        <s v="Namtu Baptist"/>
        <s v="Doke Htan Ward"/>
        <s v="Lung Sut"/>
        <s v="N-Lwe Yan"/>
        <s v="Lawk Awng Mare D. (Sinbo Area)"/>
        <s v="Shwe Gu Baptist Church"/>
        <s v="Shwe Gu Catholic Church"/>
        <s v="Shwegu Host Families"/>
        <s v="Ndup Yang 1"/>
        <s v="Ndup Yang 2"/>
        <s v="Border Post 8"/>
        <s v="Boys Boarding house, A Len Bum"/>
        <s v="Girl Boarding house, A Len Bum"/>
        <s v="Hkat Cho "/>
        <s v="Hkau Shau (BP 12)"/>
        <s v="Mading Baptist Church"/>
        <s v="Maga Yang "/>
        <s v="Maina AG Church"/>
        <s v="Maina Catholic Church (St. Joseph)"/>
        <s v="Maina KBC (Bawng Ring)"/>
        <s v="Maina Lawang Baptist Church"/>
        <s v="Nawng Hee Village"/>
        <s v="Loi Je Baptist Church" u="1"/>
        <s v="(Nam Hoi) Host families" u="1"/>
        <s v="Phan Khar Kone" u="1"/>
        <s v="Nam Hkyet" u="1"/>
        <s v="Ndup Yang" u="1"/>
        <s v="Host Families" u="1"/>
        <s v="Qtr. 2 Myoma Baptist Church" u="1"/>
        <s v="Nam Ja Rap" u="1"/>
        <s v="Naung Khaing" u="1"/>
        <s v="Woi Chyai  host families" u="1"/>
        <s v="Myay Myint Baptist Church" u="1"/>
        <s v="Woi Chyai (Mong Lai)" u="1"/>
        <s v="Qtr. 2 Lhaovo Baptist Church" u="1"/>
        <s v="Sumprabum" u="1"/>
        <s v="Pajau / Jan Mai" u="1"/>
        <s v="Howa" u="1"/>
        <s v="Qtr. 3 Mu-yin  Baptist Church" u="1"/>
        <s v="Cultural Compound" u="1"/>
        <s v="Robert Church" u="1"/>
        <s v="Laiza Market 3 / Laiza Gat" u="1"/>
        <s v="Thargaya Lisu Baptist Church" u="1"/>
        <s v="Lone Sut" u="1"/>
        <s v="Momauk Catholic Church (St. Patrick)" u="1"/>
        <s v="Machanbaw-KBC" u="1"/>
        <s v="Nam Hka Mare (west of Man Wing)" u="1"/>
        <s v="Tat Kone COC Baptist / Tat Kone Htoi San" u="1"/>
        <s v="Post 6 Camp" u="1"/>
        <s v="Waingmaw AG Church" u="1"/>
        <s v="Pa Kahtawng Primary school" u="1"/>
        <s v="Shing Jai" u="1"/>
        <s v="Woi Chyai " u="1"/>
        <s v="Lana Zup Ja" u="1"/>
        <s v="Zai Awng / Mung Ga Zup" u="1"/>
        <s v="Loi Je Lisu Camp" u="1"/>
        <s v="Nam Hkawng/Manaung kaung" u="1"/>
        <s v="Waingmaw Baptist Zonal Office" u="1"/>
        <s v="IDP School, A Len Bum" u="1"/>
        <s v="Qtr. 4 Monestry (Thargaya Thayett Taw)" u="1"/>
        <s v="Inn Lel Yan" u="1"/>
        <s v="Baptist Church, Sai Ra village" u="1"/>
      </sharedItems>
    </cacheField>
    <cacheField name="GPS x" numFmtId="0">
      <sharedItems containsString="0" containsBlank="1" containsNumber="1" minValue="96.269199999999998" maxValue="98.475719999999995"/>
    </cacheField>
    <cacheField name="GPS y" numFmtId="0">
      <sharedItems containsString="0" containsBlank="1" containsNumber="1" minValue="23.088058" maxValue="27.310880000000001"/>
    </cacheField>
    <cacheField name="Location type" numFmtId="0">
      <sharedItems containsBlank="1" count="4">
        <s v="Camp"/>
        <s v="Village"/>
        <s v="School"/>
        <m u="1"/>
      </sharedItems>
    </cacheField>
    <cacheField name="Type" numFmtId="0">
      <sharedItems containsBlank="1" count="3">
        <s v="GCA"/>
        <s v="NGCA"/>
        <m u="1"/>
      </sharedItems>
    </cacheField>
    <cacheField name="Location type2" numFmtId="0">
      <sharedItems containsBlank="1" count="4">
        <s v="Urban"/>
        <s v="Sub-urban"/>
        <s v="Rural"/>
        <m u="1"/>
      </sharedItems>
    </cacheField>
    <cacheField name="Typology beneficiaries" numFmtId="0">
      <sharedItems containsBlank="1" count="5">
        <s v="IDP in camps"/>
        <s v="IDP in Host Villages"/>
        <s v="Student in surrounding villages school"/>
        <s v="IDP in Village type relocation"/>
        <m u="1"/>
      </sharedItems>
    </cacheField>
    <cacheField name="Nb of affected household" numFmtId="0">
      <sharedItems containsString="0" containsBlank="1" containsNumber="1" containsInteger="1" minValue="2" maxValue="1563"/>
    </cacheField>
    <cacheField name="IDPs Pop" numFmtId="0">
      <sharedItems containsString="0" containsBlank="1" containsNumber="1" containsInteger="1" minValue="9" maxValue="8037"/>
    </cacheField>
    <cacheField name="IDP population observed by Wash Cluster living in the camp" numFmtId="0">
      <sharedItems containsString="0" containsBlank="1" containsNumber="1" containsInteger="1" minValue="9" maxValue="7247"/>
    </cacheField>
    <cacheField name="Total PoP" numFmtId="0">
      <sharedItems containsSemiMixedTypes="0" containsString="0" containsNumber="1" containsInteger="1" minValue="9" maxValue="7852"/>
    </cacheField>
    <cacheField name="Camps treshold" numFmtId="0">
      <sharedItems containsBlank="1" count="6">
        <s v="2. Medium"/>
        <s v="1. Small"/>
        <s v="4. Big"/>
        <s v="3. Large"/>
        <s v="5. Massive"/>
        <m u="1"/>
      </sharedItems>
    </cacheField>
    <cacheField name="Donor" numFmtId="0">
      <sharedItems containsBlank="1"/>
    </cacheField>
    <cacheField name="Camp manager defined by UNHCR" numFmtId="0">
      <sharedItems containsBlank="1"/>
    </cacheField>
    <cacheField name="Focal point Agency" numFmtId="0">
      <sharedItems count="9">
        <s v="SI"/>
        <s v="Metta"/>
        <s v="None"/>
        <s v="KMSS"/>
        <s v="Shalom"/>
        <s v="WPN"/>
        <s v="SCI"/>
        <s v="KBC"/>
        <s v="Cesvi" u="1"/>
      </sharedItems>
    </cacheField>
    <cacheField name="Targetted" numFmtId="0">
      <sharedItems count="2">
        <s v="Covered"/>
        <s v="Not covered"/>
      </sharedItems>
    </cacheField>
    <cacheField name="Ending date funds/project coverage" numFmtId="169">
      <sharedItems containsDate="1" containsMixedTypes="1" minDate="2016-03-27T00:00:00" maxDate="2017-01-01T00:00:00"/>
    </cacheField>
    <cacheField name="Source of Data" numFmtId="169">
      <sharedItems/>
    </cacheField>
    <cacheField name="Documented" numFmtId="15">
      <sharedItems count="2">
        <s v="Documented"/>
        <s v="Not documented"/>
      </sharedItems>
    </cacheField>
    <cacheField name="litres/day produce  _x000a_Water treatment station " numFmtId="0">
      <sharedItems containsSemiMixedTypes="0" containsString="0" containsNumber="1" containsInteger="1" minValue="0" maxValue="0"/>
    </cacheField>
    <cacheField name="litres deliver during the month_x000a_Water/Boat trucking " numFmtId="0">
      <sharedItems containsSemiMixedTypes="0" containsString="0" containsNumber="1" containsInteger="1" minValue="0" maxValue="36144"/>
    </cacheField>
    <cacheField name="Seasonal water shortage" numFmtId="0">
      <sharedItems containsBlank="1"/>
    </cacheField>
    <cacheField name="Exit strategy plan from emergency supply " numFmtId="0">
      <sharedItems/>
    </cacheField>
    <cacheField name="# Open hand Dug wells (without hand pump)" numFmtId="0">
      <sharedItems containsSemiMixedTypes="0" containsString="0" containsNumber="1" containsInteger="1" minValue="0" maxValue="150"/>
    </cacheField>
    <cacheField name="# Hand pump (on well or borehole)" numFmtId="0">
      <sharedItems containsSemiMixedTypes="0" containsString="0" containsNumber="1" containsInteger="1" minValue="0" maxValue="105"/>
    </cacheField>
    <cacheField name="litres/Day provided with Overhead or storage tank with reticulation/ Water  gravity system           ( Yield x average running hours)" numFmtId="1">
      <sharedItems containsSemiMixedTypes="0" containsString="0" containsNumber="1" containsInteger="1" minValue="0" maxValue="252973"/>
    </cacheField>
    <cacheField name="% Water harvesting system HH coverage" numFmtId="9">
      <sharedItems containsSemiMixedTypes="0" containsString="0" containsNumber="1" minValue="0" maxValue="1"/>
    </cacheField>
    <cacheField name="% Household covered with Household filtration " numFmtId="9">
      <sharedItems containsSemiMixedTypes="0" containsString="0" containsNumber="1" minValue="0" maxValue="1"/>
    </cacheField>
    <cacheField name="Household filter type" numFmtId="9">
      <sharedItems containsBlank="1"/>
    </cacheField>
    <cacheField name="Actual water needs coverage" numFmtId="9">
      <sharedItems containsSemiMixedTypes="0" containsString="0" containsNumber="1" minValue="0" maxValue="1"/>
    </cacheField>
    <cacheField name="Population for Actual water needs coverage" numFmtId="1">
      <sharedItems containsSemiMixedTypes="0" containsString="0" containsNumber="1" minValue="0" maxValue="7852"/>
    </cacheField>
    <cacheField name="Access of safe water drinking permanent water point" numFmtId="9">
      <sharedItems containsSemiMixedTypes="0" containsString="0" containsNumber="1" minValue="0" maxValue="1"/>
    </cacheField>
    <cacheField name="Population for access of safe water drinking permanent water point" numFmtId="1">
      <sharedItems containsSemiMixedTypes="0" containsString="0" containsNumber="1" minValue="0" maxValue="7852"/>
    </cacheField>
    <cacheField name="Potential % of actual need coverage including houshold treatment solution" numFmtId="9">
      <sharedItems containsSemiMixedTypes="0" containsString="0" containsNumber="1" minValue="0" maxValue="1"/>
    </cacheField>
    <cacheField name="Population for Potential % of actual need coverage including houshold treatment solution" numFmtId="1">
      <sharedItems containsSemiMixedTypes="0" containsString="0" containsNumber="1" minValue="0" maxValue="7852"/>
    </cacheField>
    <cacheField name="Rank coverage" numFmtId="0">
      <sharedItems count="7">
        <s v="80-100%"/>
        <s v="0-10%"/>
        <s v="45-60%"/>
        <s v="30-45%"/>
        <s v="60-80%"/>
        <s v="15-30%" u="1"/>
        <e v="#DIV/0!" u="1"/>
      </sharedItems>
    </cacheField>
    <cacheField name="% of actual need covered by emergency facilities" numFmtId="9">
      <sharedItems containsSemiMixedTypes="0" containsString="0" containsNumber="1" minValue="0" maxValue="9.7951219512195112E-2"/>
    </cacheField>
    <cacheField name="Population for of actual need covered by emergency facilities" numFmtId="1">
      <sharedItems containsSemiMixedTypes="0" containsString="0" containsNumber="1" minValue="0" maxValue="80.319999999999993"/>
    </cacheField>
    <cacheField name="Potential Number permanent water point missing" numFmtId="1">
      <sharedItems containsSemiMixedTypes="0" containsString="0" containsNumber="1" minValue="0" maxValue="14.629999999999999"/>
    </cacheField>
    <cacheField name="Number family having ceramic filter" numFmtId="1">
      <sharedItems containsSemiMixedTypes="0" containsString="0" containsNumber="1" minValue="0" maxValue="659"/>
    </cacheField>
    <cacheField name="nb of persons having rain harvest acess" numFmtId="1">
      <sharedItems containsSemiMixedTypes="0" containsString="0" containsNumber="1" minValue="0" maxValue="3755"/>
    </cacheField>
    <cacheField name="% Estimated need coverage at the end of project" numFmtId="9">
      <sharedItems containsSemiMixedTypes="0" containsString="0" containsNumber="1" containsInteger="1" minValue="0" maxValue="1"/>
    </cacheField>
    <cacheField name="Population for Estimated need coverage in 2 months" numFmtId="0">
      <sharedItems containsSemiMixedTypes="0" containsString="0" containsNumber="1" containsInteger="1" minValue="0" maxValue="7852"/>
    </cacheField>
    <cacheField name="Comments" numFmtId="0">
      <sharedItems containsBlank="1"/>
    </cacheField>
    <cacheField name="Total # Emergency Latrines built since camp opening" numFmtId="0">
      <sharedItems containsSemiMixedTypes="0" containsString="0" containsNumber="1" containsInteger="1" minValue="0" maxValue="573"/>
    </cacheField>
    <cacheField name="# Emergency latrines still functional" numFmtId="0">
      <sharedItems containsString="0" containsBlank="1" containsNumber="1" containsInteger="1" minValue="0" maxValue="276"/>
    </cacheField>
    <cacheField name="# Low cost village type of latrines" numFmtId="0">
      <sharedItems containsString="0" containsBlank="1" containsNumber="1" containsInteger="1" minValue="0" maxValue="229"/>
    </cacheField>
    <cacheField name="# Semi permanent latrine functional" numFmtId="0">
      <sharedItems containsString="0" containsBlank="1" containsNumber="1" containsInteger="1" minValue="0" maxValue="463"/>
    </cacheField>
    <cacheField name="Space availability for additional latrines" numFmtId="0">
      <sharedItems containsBlank="1" count="7">
        <s v="Land availability"/>
        <s v="No limitation"/>
        <m/>
        <s v="Environment limitation"/>
        <s v="Land authoristaion"/>
        <s v="no" u="1"/>
        <s v="Yes" u="1"/>
      </sharedItems>
    </cacheField>
    <cacheField name="Latrines gender sperated" numFmtId="0">
      <sharedItems containsBlank="1" count="7">
        <s v="Latrine shared by families , not separated"/>
        <s v="Not separated yet"/>
        <s v="Separate, but not clearly perceived"/>
        <s v="Separate, clearly perceived"/>
        <m/>
        <s v="separated" u="1"/>
        <s v="Separated, clearly perceived" u="1"/>
      </sharedItems>
    </cacheField>
    <cacheField name="% Latrine needs coverage" numFmtId="9">
      <sharedItems containsSemiMixedTypes="0" containsString="0" containsNumber="1" minValue="0" maxValue="1"/>
    </cacheField>
    <cacheField name="Population for % Latrine needs coverage" numFmtId="1">
      <sharedItems containsSemiMixedTypes="0" containsString="0" containsNumber="1" minValue="0" maxValue="7852"/>
    </cacheField>
    <cacheField name="% Emergency latrines" numFmtId="9">
      <sharedItems containsSemiMixedTypes="0" containsString="0" containsNumber="1" minValue="0" maxValue="1"/>
    </cacheField>
    <cacheField name="Population for % Emergency latrines" numFmtId="1">
      <sharedItems containsSemiMixedTypes="0" containsString="0" containsNumber="1" minValue="0" maxValue="2619"/>
    </cacheField>
    <cacheField name="% Semi permanent latrine" numFmtId="9">
      <sharedItems containsSemiMixedTypes="0" containsString="0" containsNumber="1" minValue="0" maxValue="1"/>
    </cacheField>
    <cacheField name="Population for % Semi permanent latrine" numFmtId="1">
      <sharedItems containsSemiMixedTypes="0" containsString="0" containsNumber="1" minValue="0" maxValue="7852"/>
    </cacheField>
    <cacheField name="# Additional latrines needs identified for community center as TLS, heath center…" numFmtId="0">
      <sharedItems containsString="0" containsBlank="1" containsNumber="1" containsInteger="1" minValue="0" maxValue="18"/>
    </cacheField>
    <cacheField name="% Estimated coverage of latrine need at the end of project" numFmtId="9">
      <sharedItems containsSemiMixedTypes="0" containsString="0" containsNumber="1" minValue="0" maxValue="1"/>
    </cacheField>
    <cacheField name="Population for % Estimated coverage of latrine need at the end of project" numFmtId="1">
      <sharedItems containsString="0" containsBlank="1" containsNumber="1" minValue="0" maxValue="7852"/>
    </cacheField>
    <cacheField name="# Semi permanent latrines missing" numFmtId="1">
      <sharedItems containsString="0" containsBlank="1" containsNumber="1" minValue="0" maxValue="130.94999999999999"/>
    </cacheField>
    <cacheField name="# of Bathing space (1 unit for 100 persons)" numFmtId="0">
      <sharedItems containsSemiMixedTypes="0" containsString="0" containsNumber="1" containsInteger="1" minValue="0" maxValue="213"/>
    </cacheField>
    <cacheField name="Bathing space gender separated" numFmtId="0">
      <sharedItems containsBlank="1"/>
    </cacheField>
    <cacheField name="Coverage Bathing %" numFmtId="9">
      <sharedItems containsSemiMixedTypes="0" containsString="0" containsNumber="1" minValue="0" maxValue="1"/>
    </cacheField>
    <cacheField name="Population Coverage Bathing %" numFmtId="1">
      <sharedItems containsSemiMixedTypes="0" containsString="0" containsNumber="1" minValue="0" maxValue="5000"/>
    </cacheField>
    <cacheField name="Nb of missing bathing space" numFmtId="1">
      <sharedItems containsSemiMixedTypes="0" containsString="0" containsNumber="1" minValue="0" maxValue="30.490000000000002"/>
    </cacheField>
    <cacheField name="Estimated coverage of bathroom at the end of project with gender speration" numFmtId="9">
      <sharedItems containsSemiMixedTypes="0" containsString="0" containsNumber="1" minValue="0" maxValue="1"/>
    </cacheField>
    <cacheField name="Population for  Estimated coverage of bathroom need at the end of projects  % with gender speration" numFmtId="1">
      <sharedItems containsSemiMixedTypes="0" containsString="0" containsNumber="1" minValue="0" maxValue="5025.28"/>
    </cacheField>
    <cacheField name="# Hand washing station funtional" numFmtId="0">
      <sharedItems containsSemiMixedTypes="0" containsString="0" containsNumber="1" containsInteger="1" minValue="0" maxValue="101"/>
    </cacheField>
    <cacheField name="Coverage hand wash station %" numFmtId="9">
      <sharedItems containsSemiMixedTypes="0" containsString="0" containsNumber="1" minValue="0" maxValue="1"/>
    </cacheField>
    <cacheField name="Nb of missing hand washing station" numFmtId="1">
      <sharedItems containsSemiMixedTypes="0" containsString="0" containsNumber="1" minValue="0" maxValue="26.27"/>
    </cacheField>
    <cacheField name="Estimated coverage need of hand washing station at the end of project" numFmtId="9">
      <sharedItems containsSemiMixedTypes="0" containsString="0" containsNumber="1" minValue="0" maxValue="1"/>
    </cacheField>
    <cacheField name="Comments2" numFmtId="0">
      <sharedItems containsBlank="1"/>
    </cacheField>
    <cacheField name="Date Last Full Hygiene Kit distribution" numFmtId="169">
      <sharedItems containsNonDate="0" containsDate="1" containsString="0" containsBlank="1" minDate="2012-10-01T00:00:00" maxDate="2016-02-24T00:00:00"/>
    </cacheField>
    <cacheField name="Type of Hygiene kit distribution approach" numFmtId="169">
      <sharedItems containsBlank="1"/>
    </cacheField>
    <cacheField name="% tagetetted" numFmtId="9">
      <sharedItems containsString="0" containsBlank="1" containsNumber="1" minValue="0" maxValue="1"/>
    </cacheField>
    <cacheField name="Next distribution to be done" numFmtId="169">
      <sharedItems containsDate="1" containsMixedTypes="1" minDate="2016-04-07T00:00:00" maxDate="2017-02-23T00:00:00"/>
    </cacheField>
    <cacheField name="Total # of Full Hygiene kit distributed during last distribution" numFmtId="0">
      <sharedItems containsString="0" containsBlank="1" containsNumber="1" minValue="0" maxValue="1386.5"/>
    </cacheField>
    <cacheField name="# of month distributed for Refilling Kits since last full kit distribution" numFmtId="0">
      <sharedItems containsString="0" containsBlank="1" containsNumber="1" containsInteger="1" minValue="0" maxValue="20"/>
    </cacheField>
    <cacheField name="Gap of basic hygiene kit" numFmtId="3">
      <sharedItems containsSemiMixedTypes="0" containsString="0" containsNumber="1" minValue="0" maxValue="840"/>
    </cacheField>
    <cacheField name="Coverage Hygiene kits" numFmtId="9">
      <sharedItems containsSemiMixedTypes="0" containsString="0" containsNumber="1" minValue="0" maxValue="1"/>
    </cacheField>
    <cacheField name="Coverage Hygiene kits * Total PoP" numFmtId="1">
      <sharedItems containsSemiMixedTypes="0" containsString="0" containsNumber="1" minValue="0" maxValue="6965.3218170185537"/>
    </cacheField>
    <cacheField name="Gap of month covered by refilled" numFmtId="3">
      <sharedItems containsMixedTypes="1" containsNumber="1" containsInteger="1" minValue="0" maxValue="38"/>
    </cacheField>
    <cacheField name="Comments3" numFmtId="0">
      <sharedItems containsBlank="1"/>
    </cacheField>
    <cacheField name="Approximative % of household receiving monthly HP senzitisation directly with NGO" numFmtId="9">
      <sharedItems containsSemiMixedTypes="0" containsString="0" containsNumber="1" minValue="0" maxValue="1"/>
    </cacheField>
    <cacheField name="Population receiving HP at HH level" numFmtId="3">
      <sharedItems containsString="0" containsBlank="1" containsNumber="1" minValue="0" maxValue="7852"/>
    </cacheField>
    <cacheField name="Nb  community HP trainer trained by NGO" numFmtId="0">
      <sharedItems containsString="0" containsBlank="1" containsNumber="1" containsInteger="1" minValue="0" maxValue="24"/>
    </cacheField>
    <cacheField name="Ratio between population and nb of community HP" numFmtId="0">
      <sharedItems/>
    </cacheField>
    <cacheField name="Incinerator operational" numFmtId="0">
      <sharedItems containsString="0" containsBlank="1" containsNumber="1" containsInteger="1" minValue="0" maxValue="1"/>
    </cacheField>
    <cacheField name="Community management organise and efficient in camps" numFmtId="0">
      <sharedItems containsBlank="1" count="15">
        <s v="Functional and efficient"/>
        <s v="Not yet set up"/>
        <s v="Set up but low results "/>
        <m/>
        <s v="already set up" u="1"/>
        <s v="Functional and efficient. The number of people actually leaving in the camp is 93 HH (so around 500 people) " u="1"/>
        <s v="Functioning and efficient" u="1"/>
        <s v="N/A" u="1"/>
        <s v="Functional and not efficient" u="1"/>
        <s v="Alredy set up" u="1"/>
        <s v="Funcyioning and low effivient" u="1"/>
        <s v="NA" u="1"/>
        <s v="No WASH committee" u="1"/>
        <s v="functioning but not efficient" u="1"/>
        <s v="Not yet planned" u="1"/>
      </sharedItems>
    </cacheField>
    <cacheField name="Comment" numFmtId="0">
      <sharedItems containsBlank="1"/>
    </cacheField>
    <cacheField name="Water Need coverage %" numFmtId="0" formula="'Population for Potential % of actual need coverage including houshold treatment solution'/'Total PoP'" databaseField="0"/>
    <cacheField name="Latrine need coverage %" numFmtId="0" formula="'Population for % Latrine needs coverage'/'Total PoP'" databaseField="0"/>
    <cacheField name="Bathroom need coverage" numFmtId="0" formula="'Population Coverage Bathing %'/'Total PoP'" databaseField="0"/>
    <cacheField name="Coverage Permanent Latrine %" numFmtId="0" formula="'Population for % Semi permanent latrine'/'Total PoP'" databaseField="0"/>
    <cacheField name="Coverage Emergency latrine %" numFmtId="0" formula="'Population for % Emergency latrines'/'Total PoP'" databaseField="0"/>
    <cacheField name="Coverage Full HK %" numFmtId="0" formula="'Coverage Hygiene kits * Total PoP'/'Total PoP'" databaseField="0"/>
    <cacheField name="Coverage HP session at HH level %" numFmtId="0" formula="'Population receiving HP at HH level'/'Total PoP'" databaseField="0"/>
    <cacheField name="Coverage projection end of project" numFmtId="0" formula=" ('Population for Estimated need coverage in 2 months'-'Population for Potential % of actual need coverage including houshold treatment solution') /'Total PoP'" databaseField="0"/>
    <cacheField name="Projection latrine need coverage EOP" numFmtId="0" formula="('Population for % Estimated coverage of latrine need at the end of project'-'Population for % Latrine needs coverage')/'Total PoP'" databaseField="0"/>
    <cacheField name="Projection Bathrrom coverage EOP" numFmtId="0" formula="('Population for  Estimated coverage of bathroom need at the end of projects  % with gender speration'-'Population Coverage Bathing %')/'Total PoP'"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ein Tun Hlaing" refreshedDate="42457.472554745371" createdVersion="5" refreshedVersion="5" minRefreshableVersion="3" recordCount="186">
  <cacheSource type="worksheet">
    <worksheetSource ref="B4:U225" sheet="Database"/>
  </cacheSource>
  <cacheFields count="20">
    <cacheField name="Township" numFmtId="0">
      <sharedItems containsBlank="1" count="21">
        <s v="Bhamo"/>
        <s v="Chipwi"/>
        <s v="Hpakan"/>
        <s v="Hseni"/>
        <s v="Khaunglanhpu"/>
        <s v="Kutkai"/>
        <s v="Mansi"/>
        <s v="Manton"/>
        <s v="Mogaung"/>
        <s v="Mohnyin"/>
        <s v="Momauk"/>
        <s v="Muse"/>
        <s v="Myitkyina"/>
        <s v="Namkham"/>
        <s v="Namtu"/>
        <s v="Puta-O"/>
        <s v="Shwegu"/>
        <s v="Sumprabum"/>
        <s v="Waingmaw"/>
        <m/>
        <s v="Machanbaw" u="1"/>
      </sharedItems>
    </cacheField>
    <cacheField name="Camp_P_Code" numFmtId="0">
      <sharedItems containsBlank="1"/>
    </cacheField>
    <cacheField name="Zoning cluster location" numFmtId="0">
      <sharedItems containsBlank="1"/>
    </cacheField>
    <cacheField name="Site" numFmtId="0">
      <sharedItems containsBlank="1"/>
    </cacheField>
    <cacheField name="GPS x" numFmtId="0">
      <sharedItems containsString="0" containsBlank="1" containsNumber="1" minValue="96.269199999999998" maxValue="98.475719999999995"/>
    </cacheField>
    <cacheField name="GPS y" numFmtId="0">
      <sharedItems containsString="0" containsBlank="1" containsNumber="1" minValue="23.088058" maxValue="27.310880000000001"/>
    </cacheField>
    <cacheField name="Location type" numFmtId="0">
      <sharedItems containsBlank="1"/>
    </cacheField>
    <cacheField name="Type" numFmtId="0">
      <sharedItems containsBlank="1"/>
    </cacheField>
    <cacheField name="Location type2" numFmtId="0">
      <sharedItems containsBlank="1"/>
    </cacheField>
    <cacheField name="Typology beneficiaries" numFmtId="0">
      <sharedItems containsBlank="1"/>
    </cacheField>
    <cacheField name="Nb of affected household" numFmtId="0">
      <sharedItems containsString="0" containsBlank="1" containsNumber="1" containsInteger="1" minValue="2" maxValue="1563"/>
    </cacheField>
    <cacheField name="IDPs Pop" numFmtId="0">
      <sharedItems containsString="0" containsBlank="1" containsNumber="1" containsInteger="1" minValue="9" maxValue="8037"/>
    </cacheField>
    <cacheField name="IDP population observed by Wash Cluster living in the camp" numFmtId="0">
      <sharedItems containsString="0" containsBlank="1" containsNumber="1" containsInteger="1" minValue="9" maxValue="7247"/>
    </cacheField>
    <cacheField name="Total PoP" numFmtId="0">
      <sharedItems containsString="0" containsBlank="1" containsNumber="1" containsInteger="1" minValue="9" maxValue="7852"/>
    </cacheField>
    <cacheField name="Camps treshold" numFmtId="0">
      <sharedItems containsBlank="1"/>
    </cacheField>
    <cacheField name="Donor" numFmtId="0">
      <sharedItems containsBlank="1"/>
    </cacheField>
    <cacheField name="Camp manager defined by UNHCR" numFmtId="0">
      <sharedItems containsBlank="1"/>
    </cacheField>
    <cacheField name="Focal point Agency" numFmtId="0">
      <sharedItems containsBlank="1" count="10">
        <s v="SI"/>
        <s v="Metta"/>
        <s v="None"/>
        <s v="KMSS"/>
        <s v="Shalom"/>
        <s v="WPN"/>
        <s v="SCI"/>
        <s v="KBC"/>
        <m/>
        <s v="Cesvi" u="1"/>
      </sharedItems>
    </cacheField>
    <cacheField name="Targetted" numFmtId="0">
      <sharedItems containsBlank="1"/>
    </cacheField>
    <cacheField name="Ending date funds/project coverage" numFmtId="0">
      <sharedItems containsDate="1" containsBlank="1" containsMixedTypes="1" minDate="2015-05-31T00:00:00" maxDate="2017-01-01T00:00:00" count="18">
        <d v="2016-05-31T00:00:00"/>
        <s v="Gap"/>
        <d v="2016-12-31T00:00:00"/>
        <d v="2016-03-27T00:00:00"/>
        <d v="2016-03-31T00:00:00"/>
        <d v="2016-08-31T00:00:00"/>
        <d v="2016-04-30T00:00:00"/>
        <m/>
        <d v="2016-06-22T00:00:00" u="1"/>
        <d v="2015-07-20T00:00:00" u="1"/>
        <d v="2015-12-31T00:00:00" u="1"/>
        <d v="2016-01-31T00:00:00" u="1"/>
        <d v="2016-02-29T00:00:00" u="1"/>
        <d v="2015-06-30T00:00:00" u="1"/>
        <d v="2015-08-31T00:00:00" u="1"/>
        <d v="2016-03-30T00:00:00" u="1"/>
        <d v="2015-07-31T00:00:00" u="1"/>
        <d v="2015-05-31T00:0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
  <r>
    <x v="0"/>
    <m/>
    <x v="0"/>
    <m/>
    <s v="Provision of Hygiene and Sanitation facilities for IDPs at Khaung Doke Khar, Say Tha Mar Gyi and Ohn Taw Gyi 2 camps at Sittwe Township in Rakhine State"/>
    <d v="2012-11-19T00:00:00"/>
    <d v="2013-03-18T00:00:00"/>
    <s v="Completed"/>
    <x v="0"/>
    <n v="2500"/>
    <m/>
    <s v=""/>
    <m/>
    <m/>
    <m/>
    <n v="1"/>
    <n v="0"/>
    <n v="2500"/>
    <n v="2500"/>
    <n v="2500"/>
    <n v="0"/>
    <n v="0"/>
    <n v="0"/>
    <n v="128026"/>
    <n v="128026"/>
    <x v="0"/>
    <n v="0"/>
    <n v="0"/>
    <n v="1"/>
    <n v="0.54"/>
    <n v="0.21"/>
    <n v="0.25"/>
    <m/>
  </r>
  <r>
    <x v="0"/>
    <m/>
    <x v="1"/>
    <m/>
    <s v="Emergency support for people displaced by the conflict in Kachin State, Myanmar"/>
    <d v="2013-01-06T00:00:00"/>
    <d v="2014-06-30T00:00:00"/>
    <s v="Completed"/>
    <x v="1"/>
    <n v="11700"/>
    <n v="0.45"/>
    <n v="0.55000000000000004"/>
    <n v="0"/>
    <n v="1"/>
    <n v="0"/>
    <n v="1"/>
    <n v="0"/>
    <n v="7594"/>
    <n v="6040"/>
    <n v="5850"/>
    <n v="0"/>
    <n v="0"/>
    <n v="0"/>
    <n v="530978"/>
    <n v="353985.33333333337"/>
    <x v="1"/>
    <n v="0"/>
    <n v="0"/>
    <n v="1"/>
    <n v="0.55500000000000005"/>
    <n v="0.26"/>
    <n v="0.18"/>
    <m/>
  </r>
  <r>
    <x v="0"/>
    <m/>
    <x v="1"/>
    <m/>
    <s v="Emergency support for displaced and hosting communities affected by the Kachin conflict, Myanmar"/>
    <d v="2014-01-09T00:00:00"/>
    <d v="2015-11-30T00:00:00"/>
    <s v="Active"/>
    <x v="2"/>
    <n v="4802"/>
    <m/>
    <n v="1"/>
    <m/>
    <n v="1"/>
    <m/>
    <n v="0.62"/>
    <n v="0.38"/>
    <n v="4039"/>
    <n v="4039"/>
    <n v="2028"/>
    <m/>
    <m/>
    <n v="2483"/>
    <n v="354600"/>
    <n v="0"/>
    <x v="2"/>
    <n v="171646.95652173914"/>
    <n v="0"/>
    <n v="1"/>
    <n v="0.33"/>
    <n v="0.34"/>
    <n v="0.34"/>
    <m/>
  </r>
  <r>
    <x v="1"/>
    <s v="KBC"/>
    <x v="2"/>
    <m/>
    <s v="Support for conflict affected internally displaced person in Kachin (SCAIDP)"/>
    <d v="2015-06-01T00:00:00"/>
    <d v="2016-02-28T00:00:00"/>
    <s v="Active"/>
    <x v="3"/>
    <n v="17480"/>
    <n v="0.51"/>
    <n v="0.49"/>
    <n v="0"/>
    <n v="0"/>
    <n v="1"/>
    <n v="1"/>
    <n v="0"/>
    <n v="17480"/>
    <n v="8404"/>
    <n v="17480"/>
    <n v="0"/>
    <n v="0"/>
    <n v="0"/>
    <n v="122295"/>
    <n v="0"/>
    <x v="0"/>
    <n v="95767.775735294112"/>
    <n v="26527.224264705885"/>
    <n v="1"/>
    <n v="0.373"/>
    <n v="0.17899999999999999"/>
    <n v="0.44800000000000001"/>
    <s v="150087 (canada Dolllar)"/>
  </r>
  <r>
    <x v="2"/>
    <m/>
    <x v="3"/>
    <m/>
    <s v=" Improvement of Community Drinking Water Supply and Strengthening of Communal Structures of Marginalised Population in Northern Shan State as well as Humanitarian Assistance to IDP due to the armed conflict in Kachin State (PN: 20121882.5)"/>
    <d v="2013-01-01T00:00:00"/>
    <m/>
    <s v="Completed"/>
    <x v="1"/>
    <m/>
    <m/>
    <s v=""/>
    <m/>
    <m/>
    <m/>
    <m/>
    <m/>
    <m/>
    <m/>
    <m/>
    <m/>
    <m/>
    <m/>
    <n v="338770"/>
    <n v="338770"/>
    <x v="0"/>
    <n v="0"/>
    <n v="0"/>
    <m/>
    <m/>
    <m/>
    <m/>
    <m/>
  </r>
  <r>
    <x v="3"/>
    <m/>
    <x v="4"/>
    <m/>
    <s v="Provision of water and sanitation facilities, and non-food relief items - IDPs in Kachin State (M013859)"/>
    <d v="2013-12-01T00:00:00"/>
    <m/>
    <s v="Completed"/>
    <x v="1"/>
    <m/>
    <m/>
    <s v=""/>
    <m/>
    <m/>
    <m/>
    <m/>
    <m/>
    <m/>
    <m/>
    <m/>
    <m/>
    <m/>
    <m/>
    <n v="292113"/>
    <n v="292113"/>
    <x v="0"/>
    <n v="0"/>
    <n v="0"/>
    <m/>
    <m/>
    <m/>
    <m/>
    <m/>
  </r>
  <r>
    <x v="4"/>
    <m/>
    <x v="0"/>
    <m/>
    <s v="Humanitarian Assistance to Internally Dispalced Persons in Kachin_x000a_Addendum"/>
    <d v="2012-02-15T00:00:00"/>
    <d v="2012-06-30T00:00:00"/>
    <s v="Completed"/>
    <x v="0"/>
    <n v="25000"/>
    <n v="0.7"/>
    <n v="0.3"/>
    <n v="0"/>
    <n v="0.4"/>
    <n v="0.6"/>
    <n v="1"/>
    <n v="0"/>
    <n v="25000"/>
    <n v="25000"/>
    <n v="25000"/>
    <n v="0"/>
    <n v="0"/>
    <n v="0"/>
    <n v="200970"/>
    <n v="200970"/>
    <x v="0"/>
    <n v="0"/>
    <n v="0"/>
    <n v="1"/>
    <n v="0.25103163686382396"/>
    <n v="0.45392022008253097"/>
    <n v="0.29504814305364513"/>
    <m/>
  </r>
  <r>
    <x v="4"/>
    <m/>
    <x v="0"/>
    <m/>
    <s v="Humanitarian Assistance to Internally Dispalced Persons in Kachin_x000a_"/>
    <d v="2012-02-15T00:00:00"/>
    <d v="2012-05-14T00:00:00"/>
    <s v="Completed"/>
    <x v="0"/>
    <n v="25000"/>
    <n v="0.7"/>
    <n v="0.3"/>
    <n v="0"/>
    <n v="0.4"/>
    <n v="0.6"/>
    <n v="1"/>
    <n v="0"/>
    <n v="25000"/>
    <n v="25000"/>
    <n v="25000"/>
    <n v="0"/>
    <n v="0"/>
    <n v="0"/>
    <n v="171388.23529411765"/>
    <n v="171388.23529411765"/>
    <x v="0"/>
    <n v="0"/>
    <n v="0"/>
    <n v="1"/>
    <n v="0.25"/>
    <n v="0.45"/>
    <n v="0.3"/>
    <m/>
  </r>
  <r>
    <x v="4"/>
    <m/>
    <x v="0"/>
    <m/>
    <s v="Humanitarian Assistance to Internally Dispalced Persons in Kachin"/>
    <d v="2012-05-14T00:00:00"/>
    <d v="2012-07-14T00:00:00"/>
    <s v="Completed"/>
    <x v="0"/>
    <n v="7733"/>
    <n v="0.55000000000000004"/>
    <n v="0.45"/>
    <n v="0"/>
    <n v="0.5"/>
    <n v="0.5"/>
    <n v="1"/>
    <n v="0"/>
    <n v="7733"/>
    <n v="7733"/>
    <n v="7733"/>
    <n v="0"/>
    <n v="0"/>
    <n v="0"/>
    <n v="33603.976470588233"/>
    <n v="33603.976470588233"/>
    <x v="0"/>
    <n v="0"/>
    <n v="0"/>
    <n v="1"/>
    <n v="0.04"/>
    <n v="0.95"/>
    <n v="0"/>
    <m/>
  </r>
  <r>
    <x v="4"/>
    <m/>
    <x v="0"/>
    <m/>
    <s v="Humanitarian Assistance to Internally Dispalced Persons in Kachin"/>
    <d v="2014-10-01T00:00:00"/>
    <d v="2015-04-15T00:00:00"/>
    <s v="Active"/>
    <x v="2"/>
    <n v="11820"/>
    <n v="0.86"/>
    <n v="0.14000000000000001"/>
    <n v="0"/>
    <n v="0.87"/>
    <n v="0.13"/>
    <n v="1"/>
    <n v="0"/>
    <n v="5360"/>
    <n v="11820"/>
    <n v="9833"/>
    <n v="0"/>
    <n v="0"/>
    <n v="0"/>
    <n v="220997.4"/>
    <n v="0"/>
    <x v="3"/>
    <n v="118391.46428571428"/>
    <n v="0"/>
    <n v="1"/>
    <n v="0.44"/>
    <n v="0.2"/>
    <n v="0.36"/>
    <m/>
  </r>
  <r>
    <x v="5"/>
    <m/>
    <x v="0"/>
    <m/>
    <s v="Humanitarian Assistance to Internally Dispalced Persons in Kachin"/>
    <d v="2012-06-02T00:00:00"/>
    <d v="2012-10-30T00:00:00"/>
    <s v="Completed"/>
    <x v="0"/>
    <n v="5500"/>
    <n v="0.35"/>
    <n v="0.65"/>
    <n v="0"/>
    <n v="0.6"/>
    <n v="0.4"/>
    <n v="1"/>
    <n v="0"/>
    <n v="5500"/>
    <n v="5500"/>
    <n v="5500"/>
    <n v="0"/>
    <n v="0"/>
    <n v="0"/>
    <n v="129924.9705882353"/>
    <n v="129924.9705882353"/>
    <x v="0"/>
    <n v="0"/>
    <n v="0"/>
    <n v="1"/>
    <n v="0.41"/>
    <n v="0.3"/>
    <n v="0.28999999999999998"/>
    <m/>
  </r>
  <r>
    <x v="5"/>
    <m/>
    <x v="0"/>
    <m/>
    <s v="Humanitarian Assistance to Internally Dispalced Persons in Kachin"/>
    <d v="2012-04-29T00:00:00"/>
    <d v="2012-07-29T00:00:00"/>
    <s v="Completed"/>
    <x v="0"/>
    <n v="18791"/>
    <n v="0.48"/>
    <n v="0.52"/>
    <n v="0.3"/>
    <n v="0.5"/>
    <n v="0.2"/>
    <n v="1"/>
    <n v="0"/>
    <n v="18791"/>
    <n v="18791"/>
    <n v="18791"/>
    <n v="0"/>
    <n v="0"/>
    <n v="0"/>
    <n v="149287.59647058824"/>
    <n v="149287.59647058824"/>
    <x v="0"/>
    <n v="0"/>
    <n v="0"/>
    <n v="1"/>
    <n v="0.26100382615963141"/>
    <n v="0.62"/>
    <n v="0.11847803109484276"/>
    <m/>
  </r>
  <r>
    <x v="5"/>
    <m/>
    <x v="0"/>
    <m/>
    <s v="Humanitarian Assistance to Internally Dispalced Persons in Kachin"/>
    <d v="2013-03-11T00:00:00"/>
    <d v="2013-03-25T00:00:00"/>
    <s v="Completed"/>
    <x v="1"/>
    <n v="493"/>
    <n v="0.45"/>
    <n v="0.55000000000000004"/>
    <n v="0"/>
    <n v="1"/>
    <n v="0"/>
    <n v="1"/>
    <n v="0"/>
    <n v="493"/>
    <n v="0"/>
    <n v="0"/>
    <n v="0"/>
    <n v="0"/>
    <n v="0"/>
    <n v="3031.5058823529412"/>
    <n v="3031.5058823529412"/>
    <x v="0"/>
    <n v="0"/>
    <n v="0"/>
    <n v="1"/>
    <n v="1"/>
    <n v="0"/>
    <n v="0"/>
    <m/>
  </r>
  <r>
    <x v="5"/>
    <m/>
    <x v="5"/>
    <m/>
    <m/>
    <d v="2013-01-01T00:00:00"/>
    <m/>
    <s v="Completed"/>
    <x v="1"/>
    <m/>
    <m/>
    <s v=""/>
    <m/>
    <m/>
    <m/>
    <m/>
    <m/>
    <m/>
    <m/>
    <m/>
    <m/>
    <m/>
    <m/>
    <m/>
    <n v="0"/>
    <x v="0"/>
    <n v="0"/>
    <n v="0"/>
    <m/>
    <m/>
    <m/>
    <m/>
    <m/>
  </r>
  <r>
    <x v="5"/>
    <m/>
    <x v="0"/>
    <m/>
    <s v="Humanitarian assitance to internally displaced persons in Kachin State"/>
    <d v="2014-01-24T00:00:00"/>
    <d v="2014-07-23T00:00:00"/>
    <s v="Completed"/>
    <x v="2"/>
    <n v="3756"/>
    <n v="0.65"/>
    <n v="0.35"/>
    <n v="0.61"/>
    <n v="0"/>
    <n v="0.38684771033013843"/>
    <n v="1"/>
    <n v="0"/>
    <n v="3756"/>
    <n v="3756"/>
    <n v="3756"/>
    <n v="0"/>
    <n v="0"/>
    <n v="0"/>
    <n v="201418"/>
    <n v="0"/>
    <x v="4"/>
    <n v="0"/>
    <n v="0"/>
    <n v="1"/>
    <n v="0.5"/>
    <n v="0.43"/>
    <n v="7.0000000000000007E-2"/>
    <m/>
  </r>
  <r>
    <x v="6"/>
    <m/>
    <x v="1"/>
    <m/>
    <s v="Supporting life saving health interventions in conflict affected populations in Northern Shan State, Myanmar"/>
    <d v="2013-05-18T00:00:00"/>
    <d v="2014-05-18T00:00:00"/>
    <s v="Completed"/>
    <x v="1"/>
    <n v="33204"/>
    <n v="0.1"/>
    <n v="0.9"/>
    <n v="0"/>
    <n v="0"/>
    <n v="1"/>
    <n v="7.0000000000000007E-2"/>
    <n v="0.93"/>
    <n v="2416"/>
    <n v="146"/>
    <n v="2416"/>
    <n v="22000"/>
    <n v="8788"/>
    <n v="30788"/>
    <n v="26986"/>
    <n v="16857.008219178082"/>
    <x v="5"/>
    <n v="0"/>
    <n v="0"/>
    <n v="0.04"/>
    <n v="0.82"/>
    <n v="0.12"/>
    <n v="0.06"/>
    <m/>
  </r>
  <r>
    <x v="7"/>
    <m/>
    <x v="0"/>
    <m/>
    <s v="Humanitarian Assistance to Internally Dispalced Persons in Kachin"/>
    <d v="2012-03-05T00:00:00"/>
    <d v="2012-06-14T00:00:00"/>
    <s v="Completed"/>
    <x v="0"/>
    <n v="14000"/>
    <m/>
    <s v=""/>
    <m/>
    <m/>
    <m/>
    <n v="1"/>
    <n v="0"/>
    <n v="14000"/>
    <n v="14000"/>
    <n v="14000"/>
    <n v="0"/>
    <n v="0"/>
    <n v="0"/>
    <n v="92437.647058823524"/>
    <n v="92437.647058823524"/>
    <x v="0"/>
    <n v="0"/>
    <n v="0"/>
    <n v="1"/>
    <n v="0.36"/>
    <n v="0.53"/>
    <n v="0.1"/>
    <m/>
  </r>
  <r>
    <x v="7"/>
    <m/>
    <x v="0"/>
    <m/>
    <s v="Humanitarian Assistance to Internally Dispalced Persons in Kachin"/>
    <d v="2012-02-02T00:00:00"/>
    <d v="2012-06-30T00:00:00"/>
    <s v="Completed"/>
    <x v="0"/>
    <n v="3240"/>
    <m/>
    <s v=""/>
    <m/>
    <m/>
    <m/>
    <n v="1"/>
    <n v="0"/>
    <n v="3240"/>
    <n v="3240"/>
    <n v="3240"/>
    <n v="0"/>
    <n v="0"/>
    <n v="0"/>
    <n v="34710.588235294119"/>
    <n v="34710.588235294119"/>
    <x v="0"/>
    <n v="0"/>
    <n v="0"/>
    <n v="1"/>
    <n v="0.35"/>
    <n v="0.38"/>
    <n v="0.36"/>
    <m/>
  </r>
  <r>
    <x v="7"/>
    <m/>
    <x v="0"/>
    <m/>
    <s v="Humanitarian Assistance to Internally Dispalced Persons in Kachin"/>
    <d v="2012-02-01T00:00:00"/>
    <d v="2012-04-30T00:00:00"/>
    <s v="Completed"/>
    <x v="0"/>
    <n v="14000"/>
    <m/>
    <s v=""/>
    <m/>
    <m/>
    <m/>
    <n v="1"/>
    <n v="0"/>
    <n v="14000"/>
    <n v="14000"/>
    <n v="14000"/>
    <n v="0"/>
    <n v="0"/>
    <n v="0"/>
    <n v="83760"/>
    <n v="83760"/>
    <x v="0"/>
    <n v="0"/>
    <n v="0"/>
    <n v="1"/>
    <n v="0.42"/>
    <n v="0.55000000000000004"/>
    <n v="0.22"/>
    <m/>
  </r>
  <r>
    <x v="7"/>
    <m/>
    <x v="0"/>
    <m/>
    <s v="Humanitarian Assistance to Internally Dispalced Persons in Kachin"/>
    <d v="2013-03-13T00:00:00"/>
    <d v="2013-06-12T00:00:00"/>
    <s v="Completed"/>
    <x v="1"/>
    <n v="19000"/>
    <n v="0.68421052631578949"/>
    <n v="0.31578947368421051"/>
    <n v="0"/>
    <n v="0.32"/>
    <n v="0.68321052631578949"/>
    <n v="1"/>
    <n v="0"/>
    <n v="19000"/>
    <n v="19000"/>
    <n v="19000"/>
    <n v="0"/>
    <n v="0"/>
    <n v="0"/>
    <n v="98314.495294117645"/>
    <n v="98314.495294117645"/>
    <x v="0"/>
    <n v="0"/>
    <n v="0"/>
    <n v="1"/>
    <n v="0.26924400268856291"/>
    <n v="0.14000000000000001"/>
    <n v="0.58604606937202164"/>
    <m/>
  </r>
  <r>
    <x v="7"/>
    <m/>
    <x v="0"/>
    <m/>
    <s v="Humanitarian Assistance to Internally Dispalced Persons in Kachin"/>
    <d v="2012-06-22T00:00:00"/>
    <d v="2013-03-31T00:00:00"/>
    <s v="Completed"/>
    <x v="0"/>
    <m/>
    <m/>
    <s v=""/>
    <m/>
    <m/>
    <m/>
    <m/>
    <m/>
    <m/>
    <m/>
    <m/>
    <m/>
    <m/>
    <m/>
    <n v="175294.05769230769"/>
    <n v="175294.05769230769"/>
    <x v="0"/>
    <n v="0"/>
    <n v="0"/>
    <m/>
    <m/>
    <m/>
    <m/>
    <m/>
  </r>
  <r>
    <x v="7"/>
    <m/>
    <x v="0"/>
    <m/>
    <s v="Humanitarian Assistance to Internally Dispalced Persons in Kachin"/>
    <d v="2014-01-09T00:00:00"/>
    <d v="2014-11-08T00:00:00"/>
    <s v="Completed"/>
    <x v="2"/>
    <n v="11000"/>
    <n v="0.62"/>
    <n v="0.38"/>
    <n v="0"/>
    <n v="1"/>
    <n v="0"/>
    <n v="1"/>
    <n v="0"/>
    <n v="11000"/>
    <n v="11000"/>
    <n v="11000"/>
    <n v="0"/>
    <n v="0"/>
    <n v="0"/>
    <n v="337220.99"/>
    <n v="0"/>
    <x v="6"/>
    <n v="0"/>
    <n v="0"/>
    <n v="1"/>
    <n v="0.33"/>
    <n v="0.33"/>
    <n v="0.34"/>
    <m/>
  </r>
  <r>
    <x v="7"/>
    <m/>
    <x v="0"/>
    <m/>
    <s v="Humanitarian Assistance to Internally Dispalced Persons in Kachin"/>
    <d v="2014-10-16T00:00:00"/>
    <d v="2015-04-15T00:00:00"/>
    <s v="Active"/>
    <x v="2"/>
    <n v="13389"/>
    <n v="0.59"/>
    <n v="0.41"/>
    <n v="0"/>
    <n v="1"/>
    <n v="0"/>
    <n v="1"/>
    <n v="0"/>
    <n v="5571"/>
    <n v="5643"/>
    <n v="13389"/>
    <n v="0"/>
    <n v="0"/>
    <n v="0"/>
    <n v="288461.43"/>
    <n v="0"/>
    <x v="7"/>
    <n v="167339.5035911602"/>
    <n v="0"/>
    <n v="1"/>
    <n v="0.23"/>
    <n v="0.23"/>
    <n v="0.54"/>
    <m/>
  </r>
  <r>
    <x v="7"/>
    <s v="Oxfam"/>
    <x v="6"/>
    <m/>
    <s v="Humanitarian Assistance to Internally Dispalced Persons in Kachin"/>
    <d v="2014-04-28T00:00:00"/>
    <d v="2014-06-12T00:00:00"/>
    <s v="Completed"/>
    <x v="2"/>
    <m/>
    <m/>
    <m/>
    <n v="1"/>
    <n v="0"/>
    <n v="0"/>
    <n v="1"/>
    <n v="0"/>
    <m/>
    <m/>
    <m/>
    <m/>
    <m/>
    <m/>
    <n v="43482"/>
    <n v="0"/>
    <x v="8"/>
    <n v="0"/>
    <n v="0"/>
    <m/>
    <m/>
    <m/>
    <m/>
    <m/>
  </r>
  <r>
    <x v="7"/>
    <m/>
    <x v="7"/>
    <m/>
    <s v="Humanitarian Assistance to Internally Dispalced Persons in NSS"/>
    <d v="2015-02-01T00:00:00"/>
    <d v="2015-03-31T00:00:00"/>
    <s v="Active"/>
    <x v="3"/>
    <n v="4000"/>
    <n v="0"/>
    <n v="1"/>
    <n v="1"/>
    <n v="0"/>
    <n v="0"/>
    <n v="1"/>
    <n v="0"/>
    <n v="4000"/>
    <n v="4000"/>
    <n v="4000"/>
    <n v="0"/>
    <n v="0"/>
    <n v="0"/>
    <n v="400000"/>
    <n v="0"/>
    <x v="0"/>
    <n v="400000"/>
    <n v="0"/>
    <n v="1"/>
    <n v="0.4"/>
    <n v="0.3"/>
    <n v="0.3"/>
    <s v="this fund allocation is for only Metta (LSO) office and updated in May 15"/>
  </r>
  <r>
    <x v="7"/>
    <m/>
    <x v="8"/>
    <m/>
    <s v="Humanitarian Assistance to People Displaced in Kachin and Northern Shan State-Myanmar"/>
    <d v="2015-04-01T00:00:00"/>
    <d v="2016-03-31T00:00:00"/>
    <s v="Active"/>
    <x v="3"/>
    <n v="18227"/>
    <m/>
    <n v="1"/>
    <m/>
    <m/>
    <m/>
    <n v="1"/>
    <m/>
    <m/>
    <m/>
    <m/>
    <m/>
    <m/>
    <m/>
    <n v="73062"/>
    <n v="0"/>
    <x v="0"/>
    <n v="54846.542465753424"/>
    <n v="18215.457534246576"/>
    <n v="1"/>
    <n v="0"/>
    <n v="0"/>
    <n v="1"/>
    <m/>
  </r>
  <r>
    <x v="7"/>
    <m/>
    <x v="9"/>
    <m/>
    <s v="Humanitarian Assistance to People Displaced in Kachin and Northern Shan State-Myanmar"/>
    <d v="2015-01-06T00:00:00"/>
    <d v="2016-05-31T00:00:00"/>
    <s v="Active"/>
    <x v="3"/>
    <n v="1000"/>
    <m/>
    <n v="1"/>
    <m/>
    <m/>
    <m/>
    <n v="1"/>
    <m/>
    <m/>
    <m/>
    <n v="1000"/>
    <m/>
    <m/>
    <n v="1000"/>
    <n v="32800"/>
    <n v="0"/>
    <x v="0"/>
    <n v="23043.444227005872"/>
    <n v="9756.5557729941283"/>
    <n v="1"/>
    <n v="0.42"/>
    <n v="0.3"/>
    <n v="0.27"/>
    <m/>
  </r>
  <r>
    <x v="8"/>
    <s v="KBC/Shalom"/>
    <x v="1"/>
    <m/>
    <s v="Emergency Response for Conflict-Affected Population in Kachin and Northern Shan"/>
    <d v="2013-01-01T00:00:00"/>
    <d v="2014-03-31T00:00:00"/>
    <s v="Completed"/>
    <x v="1"/>
    <n v="19794"/>
    <n v="0.42437102152167322"/>
    <n v="0.57562897847832684"/>
    <n v="0"/>
    <n v="0"/>
    <n v="1"/>
    <n v="1"/>
    <n v="0"/>
    <n v="5240"/>
    <n v="13650"/>
    <n v="19794"/>
    <n v="0"/>
    <n v="0"/>
    <n v="0"/>
    <n v="774563"/>
    <n v="622721.35462555068"/>
    <x v="9"/>
    <n v="0"/>
    <n v="0"/>
    <n v="1"/>
    <n v="0.2"/>
    <n v="0.22"/>
    <n v="0.57999999999999996"/>
    <s v="Data input on 17/10/2013"/>
  </r>
  <r>
    <x v="8"/>
    <s v="KBC/Shalom"/>
    <x v="10"/>
    <m/>
    <s v="Same project than previous one, co-financing"/>
    <d v="2013-01-01T00:00:00"/>
    <d v="2014-03-31T00:00:00"/>
    <s v="Completed"/>
    <x v="1"/>
    <m/>
    <m/>
    <m/>
    <m/>
    <m/>
    <m/>
    <m/>
    <m/>
    <m/>
    <m/>
    <m/>
    <m/>
    <m/>
    <m/>
    <n v="515029"/>
    <n v="414065.16519823787"/>
    <x v="10"/>
    <n v="0"/>
    <n v="0"/>
    <m/>
    <m/>
    <m/>
    <m/>
    <m/>
  </r>
  <r>
    <x v="8"/>
    <s v="KBC/Shalom"/>
    <x v="2"/>
    <m/>
    <s v="Same project than previous one, co-financing"/>
    <d v="2013-01-01T00:00:00"/>
    <d v="2014-03-31T00:00:00"/>
    <s v="Completed"/>
    <x v="1"/>
    <m/>
    <m/>
    <m/>
    <m/>
    <m/>
    <m/>
    <m/>
    <m/>
    <m/>
    <m/>
    <m/>
    <m/>
    <m/>
    <m/>
    <n v="191487"/>
    <n v="153948.79955947137"/>
    <x v="11"/>
    <n v="0"/>
    <n v="0"/>
    <m/>
    <m/>
    <m/>
    <m/>
    <m/>
  </r>
  <r>
    <x v="8"/>
    <s v="KBC/Shalom"/>
    <x v="11"/>
    <m/>
    <s v="Emergency Response for Conflict-Affected Population in Kachin and Northern Shan 14/15"/>
    <d v="2014-05-01T00:00:00"/>
    <d v="2015-05-31T00:00:00"/>
    <s v="Completed"/>
    <x v="2"/>
    <n v="23013"/>
    <n v="0.41467865988788943"/>
    <n v="0.58532134011211057"/>
    <n v="0"/>
    <n v="0"/>
    <n v="1"/>
    <n v="1"/>
    <n v="0"/>
    <n v="23013"/>
    <n v="23013"/>
    <n v="23013"/>
    <n v="0"/>
    <n v="0"/>
    <n v="0"/>
    <n v="711973"/>
    <n v="0"/>
    <x v="12"/>
    <n v="272171.95696202532"/>
    <n v="0"/>
    <n v="1"/>
    <n v="0.16"/>
    <n v="0.09"/>
    <n v="0.75"/>
    <s v="Data input on 09/06/2014. Note this funding does not enable full coverage with hygiene kits in GCA camps. Oxfam will submit to UNICEF a proposal to cover the gap, but targeting will also be established this year due to increasing livlihoods and decreasing donor funds. "/>
  </r>
  <r>
    <x v="8"/>
    <s v="Shalom"/>
    <x v="2"/>
    <m/>
    <s v="Kachin Humanitarian Response (CIDA II)"/>
    <s v="01/04/2015"/>
    <s v="31/03/2016"/>
    <s v="Active"/>
    <x v="3"/>
    <n v="4669"/>
    <m/>
    <n v="1"/>
    <n v="0"/>
    <m/>
    <m/>
    <n v="1"/>
    <n v="0"/>
    <n v="4669"/>
    <n v="4669"/>
    <n v="4669"/>
    <m/>
    <m/>
    <m/>
    <n v="86864"/>
    <n v="0"/>
    <x v="0"/>
    <n v="0"/>
    <n v="86864"/>
    <n v="1"/>
    <m/>
    <m/>
    <m/>
    <m/>
  </r>
  <r>
    <x v="8"/>
    <s v="KBC"/>
    <x v="1"/>
    <m/>
    <s v="Emergency response for IDP in Kachin 2015/16 (HIP 2015)"/>
    <d v="2015-08-01T00:00:00"/>
    <d v="2015-12-31T00:00:00"/>
    <s v="Active"/>
    <x v="3"/>
    <n v="4735"/>
    <m/>
    <n v="1"/>
    <m/>
    <m/>
    <n v="1"/>
    <n v="1"/>
    <m/>
    <n v="4735"/>
    <n v="4735"/>
    <n v="4735"/>
    <m/>
    <m/>
    <m/>
    <n v="107174"/>
    <n v="0"/>
    <x v="0"/>
    <n v="107174"/>
    <n v="0"/>
    <n v="1"/>
    <n v="0.31829548211319908"/>
    <n v="0.10458693339802565"/>
    <n v="0.5768656577154907"/>
    <m/>
  </r>
  <r>
    <x v="9"/>
    <s v="KBC"/>
    <x v="3"/>
    <m/>
    <s v="Live saving Emergency aid to internally displaced people in  Kachin state,Myanmar."/>
    <d v="2015-01-01T00:00:00"/>
    <d v="2015-09-30T00:00:00"/>
    <s v="Active"/>
    <x v="3"/>
    <n v="3088"/>
    <n v="0"/>
    <n v="1"/>
    <n v="1"/>
    <n v="0"/>
    <n v="0"/>
    <n v="1"/>
    <n v="0"/>
    <n v="0"/>
    <n v="0"/>
    <n v="3088"/>
    <n v="0"/>
    <n v="0"/>
    <n v="0"/>
    <n v="75653"/>
    <n v="0"/>
    <x v="0"/>
    <n v="75653"/>
    <n v="0"/>
    <m/>
    <m/>
    <m/>
    <m/>
    <s v="Only on HK"/>
  </r>
  <r>
    <x v="10"/>
    <s v="WPN"/>
    <x v="1"/>
    <m/>
    <s v="Emergency Assistance to Conflict Affected Populations in Myanmar"/>
    <d v="2013-06-01T00:00:00"/>
    <d v="2014-02-28T00:00:00"/>
    <s v="Completed"/>
    <x v="1"/>
    <n v="9566"/>
    <n v="0.86"/>
    <n v="0.14000000000000001"/>
    <n v="0.89"/>
    <n v="0"/>
    <n v="0.11"/>
    <n v="1"/>
    <n v="0"/>
    <n v="1905"/>
    <n v="9566"/>
    <n v="9566"/>
    <n v="0"/>
    <n v="0"/>
    <n v="0"/>
    <n v="264760"/>
    <n v="208303.82352941178"/>
    <x v="13"/>
    <n v="0"/>
    <n v="0"/>
    <n v="0.8"/>
    <n v="0.13"/>
    <n v="0.14000000000000001"/>
    <n v="0.73"/>
    <m/>
  </r>
  <r>
    <x v="10"/>
    <s v="WPN"/>
    <x v="12"/>
    <m/>
    <s v="MMR Kachin  Humanitarian Response"/>
    <d v="2014-01-01T00:00:00"/>
    <d v="2014-12-31T00:00:00"/>
    <s v="Completed"/>
    <x v="2"/>
    <m/>
    <n v="0"/>
    <n v="1"/>
    <n v="0.89"/>
    <n v="0"/>
    <n v="0.11"/>
    <n v="1"/>
    <n v="0"/>
    <n v="1905"/>
    <n v="9566"/>
    <n v="9566"/>
    <n v="0"/>
    <n v="0"/>
    <n v="0"/>
    <n v="17000"/>
    <n v="0"/>
    <x v="14"/>
    <n v="0"/>
    <n v="0"/>
    <m/>
    <m/>
    <m/>
    <m/>
    <m/>
  </r>
  <r>
    <x v="10"/>
    <s v="WPN"/>
    <x v="13"/>
    <m/>
    <s v="Humanitarian assistance to populations affected by vioence in Rakhine &amp; Kachin States"/>
    <d v="2014-01-01T00:00:00"/>
    <d v="2015-06-30T00:00:00"/>
    <s v="Completed"/>
    <x v="2"/>
    <n v="8010"/>
    <n v="0.93"/>
    <n v="6.9999999999999951E-2"/>
    <n v="0.1"/>
    <n v="0.9"/>
    <n v="0"/>
    <n v="1"/>
    <n v="0"/>
    <n v="8010"/>
    <n v="8010"/>
    <n v="8010"/>
    <n v="0"/>
    <n v="0"/>
    <n v="0"/>
    <n v="102308"/>
    <n v="0"/>
    <x v="15"/>
    <n v="33977.519266055046"/>
    <n v="0"/>
    <m/>
    <m/>
    <m/>
    <m/>
    <m/>
  </r>
  <r>
    <x v="10"/>
    <s v="WPN"/>
    <x v="14"/>
    <m/>
    <s v="MMR Emergency assistance to populations affected by displacement and violence in Kachin State"/>
    <d v="2014-01-01T00:00:00"/>
    <d v="2014-09-09T00:00:00"/>
    <s v="Completed"/>
    <x v="2"/>
    <m/>
    <n v="0.47"/>
    <n v="0.53"/>
    <m/>
    <m/>
    <m/>
    <m/>
    <m/>
    <m/>
    <m/>
    <m/>
    <m/>
    <m/>
    <m/>
    <n v="80400"/>
    <n v="0"/>
    <x v="16"/>
    <n v="0"/>
    <n v="0"/>
    <m/>
    <m/>
    <m/>
    <m/>
    <m/>
  </r>
  <r>
    <x v="10"/>
    <m/>
    <x v="0"/>
    <m/>
    <s v="Development of Lifesaving WASH Facilities in tandem with New Shelter Construction for IDPs_x000a_"/>
    <d v="2014-07-02T00:00:00"/>
    <d v="2015-02-28T00:00:00"/>
    <s v="Completed"/>
    <x v="2"/>
    <n v="10837"/>
    <n v="0.43323798099104921"/>
    <n v="0.56999999999999995"/>
    <n v="0.23798099104918335"/>
    <n v="0"/>
    <n v="0.76"/>
    <n v="1"/>
    <n v="0"/>
    <n v="10837"/>
    <n v="10837"/>
    <n v="10837"/>
    <n v="0"/>
    <n v="0"/>
    <n v="0"/>
    <n v="455030"/>
    <n v="0"/>
    <x v="17"/>
    <n v="111397.38589211617"/>
    <n v="0"/>
    <n v="1"/>
    <n v="7.0000000000000007E-2"/>
    <n v="0.18"/>
    <n v="0.75"/>
    <m/>
  </r>
  <r>
    <x v="10"/>
    <s v="WPN"/>
    <x v="1"/>
    <m/>
    <s v="Contribute to improved living conditions for conflict affected children and their families in Kachin/NSS states"/>
    <d v="2014-07-01T00:00:00"/>
    <d v="2015-08-31T00:00:00"/>
    <s v="Completed"/>
    <x v="2"/>
    <n v="13266"/>
    <n v="0.75"/>
    <n v="0.25"/>
    <n v="0.25"/>
    <n v="0.75"/>
    <n v="0"/>
    <n v="1"/>
    <n v="0"/>
    <n v="13266"/>
    <n v="13266"/>
    <n v="13266"/>
    <n v="0"/>
    <n v="0"/>
    <n v="0"/>
    <n v="419947"/>
    <n v="0"/>
    <x v="18"/>
    <n v="239547.2323943662"/>
    <n v="0"/>
    <n v="1"/>
    <n v="7.0000000000000007E-2"/>
    <n v="0.18"/>
    <n v="0.75"/>
    <m/>
  </r>
  <r>
    <x v="10"/>
    <s v="WPN"/>
    <x v="1"/>
    <m/>
    <s v="Conflict sensitive humanitarian assistance to conflict affected populations in Kachin/NSS"/>
    <d v="2015-09-01T00:00:00"/>
    <d v="2016-08-31T00:00:00"/>
    <s v="Active"/>
    <x v="3"/>
    <n v="16137"/>
    <n v="0.55000000000000004"/>
    <n v="0.45"/>
    <n v="0.5"/>
    <n v="0.5"/>
    <m/>
    <n v="1"/>
    <m/>
    <m/>
    <m/>
    <m/>
    <m/>
    <m/>
    <m/>
    <n v="279007"/>
    <n v="0"/>
    <x v="0"/>
    <n v="92492.731506849319"/>
    <n v="186514.26849315068"/>
    <m/>
    <n v="0.1"/>
    <n v="0.45"/>
    <n v="0.45"/>
    <m/>
  </r>
  <r>
    <x v="10"/>
    <m/>
    <x v="13"/>
    <m/>
    <s v="MMR Humanitarian Assistance for Households Affected Kacin State, Burma"/>
    <d v="2015-01-04T00:00:00"/>
    <d v="2016-03-31T00:00:00"/>
    <s v="Active"/>
    <x v="3"/>
    <n v="1140"/>
    <n v="0"/>
    <n v="1"/>
    <n v="1"/>
    <n v="0"/>
    <n v="0"/>
    <n v="1"/>
    <n v="0"/>
    <n v="1140"/>
    <n v="1140"/>
    <n v="1140"/>
    <n v="0"/>
    <n v="0"/>
    <n v="0"/>
    <n v="236184"/>
    <n v="0"/>
    <x v="0"/>
    <n v="188633.6814159292"/>
    <n v="47550.318584070796"/>
    <n v="1"/>
    <n v="7.0000000000000007E-2"/>
    <n v="0.18"/>
    <n v="0.75"/>
    <m/>
  </r>
  <r>
    <x v="11"/>
    <m/>
    <x v="0"/>
    <m/>
    <s v="Humanitarian Assistance to Internally Dispalced Persons in Kachin"/>
    <d v="2013-12-24T00:00:00"/>
    <d v="2014-10-31T00:00:00"/>
    <s v="Completed"/>
    <x v="1"/>
    <n v="6184"/>
    <n v="0"/>
    <n v="1"/>
    <n v="0"/>
    <n v="0"/>
    <n v="1"/>
    <n v="1"/>
    <n v="0"/>
    <n v="3538"/>
    <n v="2913"/>
    <n v="2238"/>
    <n v="0"/>
    <n v="0"/>
    <n v="0"/>
    <n v="306018"/>
    <n v="7871.8456591639551"/>
    <x v="19"/>
    <n v="0"/>
    <n v="0"/>
    <n v="1"/>
    <n v="0.42000000000000004"/>
    <n v="0.24"/>
    <n v="0.34"/>
    <m/>
  </r>
  <r>
    <x v="11"/>
    <m/>
    <x v="0"/>
    <m/>
    <s v="Emergency WASH for IDPs in  Hpakant Township"/>
    <d v="2015-07-28T00:00:00"/>
    <d v="2016-03-27T00:00:00"/>
    <s v="Active"/>
    <x v="3"/>
    <n v="3225"/>
    <n v="0"/>
    <n v="1"/>
    <m/>
    <m/>
    <m/>
    <m/>
    <m/>
    <m/>
    <m/>
    <m/>
    <m/>
    <m/>
    <m/>
    <n v="169137.76881720431"/>
    <n v="0"/>
    <x v="0"/>
    <n v="108582.27133943982"/>
    <n v="60555.497477764504"/>
    <n v="1"/>
    <n v="0.42000000000000004"/>
    <n v="0.24"/>
    <n v="0.34"/>
    <m/>
  </r>
  <r>
    <x v="12"/>
    <m/>
    <x v="0"/>
    <m/>
    <s v="Emergency WASH support for the affected population in Southern Kachin State"/>
    <d v="2012-06-04T00:00:00"/>
    <d v="2013-01-16T00:00:00"/>
    <s v="Completed"/>
    <x v="0"/>
    <n v="11524"/>
    <n v="0.22"/>
    <n v="0.78"/>
    <n v="0"/>
    <n v="1"/>
    <n v="0"/>
    <n v="1"/>
    <n v="0"/>
    <n v="9024"/>
    <n v="9024"/>
    <n v="9024"/>
    <n v="2500"/>
    <n v="2500"/>
    <n v="2500"/>
    <n v="220000"/>
    <n v="220000"/>
    <x v="0"/>
    <n v="0"/>
    <n v="0"/>
    <n v="0.85"/>
    <n v="0.33"/>
    <n v="0.23"/>
    <n v="0.44"/>
    <m/>
  </r>
  <r>
    <x v="12"/>
    <m/>
    <x v="0"/>
    <m/>
    <s v="Emergency WASH support for the affected population in Southern Kachin State"/>
    <d v="2012-11-27T00:00:00"/>
    <d v="2013-02-26T00:00:00"/>
    <s v="Completed"/>
    <x v="0"/>
    <n v="7000"/>
    <n v="0"/>
    <n v="1"/>
    <n v="0"/>
    <n v="1"/>
    <n v="0"/>
    <n v="1"/>
    <n v="0"/>
    <n v="7000"/>
    <n v="7000"/>
    <n v="7000"/>
    <m/>
    <m/>
    <m/>
    <n v="158854"/>
    <n v="158854"/>
    <x v="0"/>
    <n v="0"/>
    <n v="0"/>
    <n v="1"/>
    <n v="0.95637415012976246"/>
    <n v="1.5354404523431255E-2"/>
    <n v="2.8271445346806263E-2"/>
    <m/>
  </r>
  <r>
    <x v="12"/>
    <m/>
    <x v="1"/>
    <m/>
    <s v="Water, Sanitation and Hygiene assistance for IDPs affected by the conflict in Southern Kachin State (ECHO/-XA/BUD/2012/91023)"/>
    <d v="2013-06-01T00:00:00"/>
    <d v="2014-05-31T00:00:00"/>
    <s v="Completed"/>
    <x v="1"/>
    <n v="13020"/>
    <n v="0.60675883256528418"/>
    <n v="0.39324116743471582"/>
    <n v="0"/>
    <n v="1"/>
    <n v="0"/>
    <n v="1"/>
    <n v="0"/>
    <n v="5120"/>
    <n v="13020"/>
    <n v="5120"/>
    <n v="0"/>
    <n v="0"/>
    <n v="0"/>
    <n v="796569"/>
    <n v="468312.54395604396"/>
    <x v="20"/>
    <n v="0"/>
    <n v="0"/>
    <n v="1"/>
    <n v="0.23"/>
    <n v="0.01"/>
    <n v="0.19"/>
    <s v="Part of global project including Rakhines. For activities the 58% remaining are for Winter kits and assesment of new sites."/>
  </r>
  <r>
    <x v="12"/>
    <m/>
    <x v="15"/>
    <m/>
    <s v=" WASH activities and distribution of non-food items in the Bhamo camps"/>
    <d v="2012-01-04T00:00:00"/>
    <d v="2012-05-03T00:00:00"/>
    <s v="Completed"/>
    <x v="0"/>
    <n v="7280"/>
    <n v="0"/>
    <n v="1"/>
    <n v="0"/>
    <n v="1"/>
    <n v="0"/>
    <n v="1"/>
    <n v="0"/>
    <n v="4500"/>
    <n v="0"/>
    <n v="7280"/>
    <n v="0"/>
    <n v="0"/>
    <n v="0"/>
    <n v="197000"/>
    <n v="197000"/>
    <x v="0"/>
    <n v="0"/>
    <n v="0"/>
    <n v="1"/>
    <n v="0.05"/>
    <n v="0"/>
    <n v="0.95"/>
    <m/>
  </r>
  <r>
    <x v="12"/>
    <m/>
    <x v="1"/>
    <m/>
    <s v="Water, Sanitation and Hygiene assistance for IDPs affected by the conflict in Southern Kachin State (ECHO/-XA/BUD/2012/91023)"/>
    <d v="2012-07-25T00:00:00"/>
    <d v="2013-06-24T00:00:00"/>
    <s v="Completed"/>
    <x v="0"/>
    <n v="35714"/>
    <n v="0.63162905303242423"/>
    <n v="0.36837094696757577"/>
    <n v="0"/>
    <n v="1"/>
    <n v="0"/>
    <n v="1"/>
    <n v="0"/>
    <n v="13773"/>
    <n v="13667"/>
    <n v="29447"/>
    <n v="0"/>
    <n v="0"/>
    <n v="0"/>
    <n v="504350"/>
    <n v="504350"/>
    <x v="0"/>
    <n v="0"/>
    <n v="0"/>
    <n v="1"/>
    <n v="0.39643956684854842"/>
    <n v="5.0268897101294854E-2"/>
    <n v="0.19999887842710617"/>
    <s v="Cofi-UNICEF-CERF//ECHO The reported beneficiaries are under the ECHO Project for both of those project // ----------------------------------------------------------------the remaining 35% for the distribution of Winter Kits"/>
  </r>
  <r>
    <x v="12"/>
    <m/>
    <x v="1"/>
    <m/>
    <s v="Improving water access, hygiene and sanitation conditions of the conflict affected population in Kachin and Rakhine States"/>
    <d v="2014-09-01T00:00:00"/>
    <d v="2015-08-30T00:00:00"/>
    <s v="Active"/>
    <x v="2"/>
    <n v="22403"/>
    <n v="0.64027139222425566"/>
    <n v="0.35972860777574434"/>
    <n v="0"/>
    <n v="1"/>
    <n v="0"/>
    <n v="1"/>
    <n v="0"/>
    <n v="22403"/>
    <n v="22403"/>
    <n v="22403"/>
    <n v="0"/>
    <n v="0"/>
    <n v="0"/>
    <n v="649786"/>
    <n v="0"/>
    <x v="21"/>
    <n v="433190.66666666663"/>
    <n v="0"/>
    <n v="1"/>
    <n v="0.36"/>
    <n v="0.02"/>
    <n v="0.62"/>
    <s v="Part of global project including Rakhine State"/>
  </r>
  <r>
    <x v="12"/>
    <m/>
    <x v="5"/>
    <m/>
    <s v="Water, Sanitation and Hygiene rapid response to internal displacements in Kachin and Northern Shan States"/>
    <d v="2014-01-01T00:00:00"/>
    <d v="2014-06-30T00:00:00"/>
    <s v="Completed"/>
    <x v="2"/>
    <n v="3000"/>
    <n v="0.5"/>
    <n v="0.5"/>
    <n v="0"/>
    <n v="1"/>
    <n v="0"/>
    <n v="1"/>
    <n v="0"/>
    <n v="3000"/>
    <n v="3000"/>
    <n v="3000"/>
    <n v="0"/>
    <n v="0"/>
    <n v="0"/>
    <n v="78945"/>
    <n v="0"/>
    <x v="22"/>
    <n v="0"/>
    <n v="0"/>
    <n v="1"/>
    <n v="0.33"/>
    <n v="0.33"/>
    <n v="0.33"/>
    <m/>
  </r>
  <r>
    <x v="12"/>
    <s v="SCI/Oxfam"/>
    <x v="5"/>
    <m/>
    <s v="Water, Sanitation and Hygiene rapid response for people affected by conflict induced displacements and natural disasters in Kachin and Northern Shan States"/>
    <d v="2014-09-01T00:00:00"/>
    <d v="2015-09-30T00:00:00"/>
    <s v="Completed"/>
    <x v="2"/>
    <n v="5000"/>
    <n v="0.5"/>
    <n v="0.5"/>
    <n v="0.5"/>
    <n v="0.25"/>
    <n v="0.25"/>
    <n v="0.5"/>
    <n v="0.5"/>
    <n v="5000"/>
    <n v="5000"/>
    <n v="5000"/>
    <n v="0"/>
    <n v="0"/>
    <n v="0"/>
    <n v="267190"/>
    <n v="0"/>
    <x v="23"/>
    <n v="185134.18781725888"/>
    <n v="0"/>
    <m/>
    <n v="0.3"/>
    <n v="0.3"/>
    <n v="0.4"/>
    <s v="The targeting of beneifciaries cannot be detailed as this project aims at answering to new emergency following displacement or natural hazards"/>
  </r>
  <r>
    <x v="12"/>
    <m/>
    <x v="0"/>
    <m/>
    <s v="Integrated WaSH assistance to IDPs affected by conflict_x000a_ in Kachin State"/>
    <d v="2013-12-24T00:00:00"/>
    <d v="2014-08-23T00:00:00"/>
    <s v="Completed"/>
    <x v="1"/>
    <n v="11774"/>
    <n v="0.9"/>
    <n v="9.9999999999999978E-2"/>
    <n v="0"/>
    <n v="1"/>
    <n v="0"/>
    <n v="1"/>
    <n v="0"/>
    <n v="1250"/>
    <n v="1250"/>
    <n v="0"/>
    <n v="0"/>
    <n v="0"/>
    <n v="0"/>
    <n v="249000"/>
    <n v="8231.4049586776819"/>
    <x v="24"/>
    <n v="0"/>
    <n v="0"/>
    <n v="1"/>
    <n v="0.25"/>
    <n v="0.64"/>
    <n v="0.11"/>
    <m/>
  </r>
  <r>
    <x v="12"/>
    <m/>
    <x v="0"/>
    <m/>
    <s v="WaSH assistance to IDPs affected by conflict_x000a_ in Kachin State"/>
    <d v="2014-10-16T00:00:00"/>
    <d v="2015-07-15T00:00:00"/>
    <s v="Completed"/>
    <x v="2"/>
    <n v="1250"/>
    <n v="0.9"/>
    <n v="9.9999999999999978E-2"/>
    <n v="0"/>
    <n v="1"/>
    <n v="0"/>
    <n v="1"/>
    <n v="0"/>
    <n v="1250"/>
    <n v="1250"/>
    <n v="0"/>
    <n v="0"/>
    <n v="0"/>
    <n v="0"/>
    <n v="249000"/>
    <n v="0"/>
    <x v="25"/>
    <n v="179426.4705882353"/>
    <n v="0"/>
    <n v="1"/>
    <n v="0.25"/>
    <n v="0.64"/>
    <n v="0.11"/>
    <m/>
  </r>
  <r>
    <x v="12"/>
    <m/>
    <x v="13"/>
    <m/>
    <s v="Emergency WASH assistance and Food Security and Livelihood support to vulnerable populations affected by conflicts in Rakhine and Kachin States"/>
    <d v="2014-05-01T00:00:00"/>
    <d v="2015-04-30T00:00:00"/>
    <s v="Completed"/>
    <x v="2"/>
    <n v="6905"/>
    <n v="0.3"/>
    <n v="0.7"/>
    <n v="0"/>
    <n v="1"/>
    <n v="0"/>
    <n v="1"/>
    <n v="0"/>
    <n v="6905"/>
    <n v="6905"/>
    <n v="6905"/>
    <n v="0"/>
    <n v="0"/>
    <n v="0"/>
    <n v="469947"/>
    <n v="0"/>
    <x v="26"/>
    <n v="154927.58241758242"/>
    <n v="0"/>
    <n v="1"/>
    <n v="0.56999999999999995"/>
    <n v="0.16"/>
    <n v="0.12"/>
    <m/>
  </r>
  <r>
    <x v="12"/>
    <s v="KBC"/>
    <x v="13"/>
    <m/>
    <s v="Emergency WASH assistance and Food Security and Livelihood support to vulnerable populations affected by conflicts in Rakhine and Kachin States"/>
    <d v="2015-05-01T00:00:00"/>
    <d v="2016-04-29T00:00:00"/>
    <s v="Active"/>
    <x v="3"/>
    <n v="15447"/>
    <n v="0.57999999999999996"/>
    <n v="0.42"/>
    <n v="0"/>
    <n v="1"/>
    <n v="0"/>
    <n v="1"/>
    <n v="0"/>
    <n v="15447"/>
    <n v="15447"/>
    <n v="15447"/>
    <n v="0"/>
    <n v="0"/>
    <n v="0"/>
    <n v="500000"/>
    <n v="0"/>
    <x v="0"/>
    <n v="335164.83516483521"/>
    <n v="164835.16483516482"/>
    <n v="1"/>
    <n v="0.4"/>
    <n v="0.4"/>
    <n v="0.2"/>
    <m/>
  </r>
  <r>
    <x v="12"/>
    <s v="KBC"/>
    <x v="1"/>
    <m/>
    <s v="Improving water access, hygiene and sanitation conditions of the conflict affected population in Kachin and Rakhine States"/>
    <d v="2015-09-01T00:00:00"/>
    <d v="2016-05-31T00:00:00"/>
    <s v="Active"/>
    <x v="3"/>
    <n v="17285"/>
    <n v="0.41"/>
    <n v="0.59000000000000008"/>
    <n v="0"/>
    <n v="1"/>
    <n v="0"/>
    <n v="0.88"/>
    <n v="0.11"/>
    <n v="15375"/>
    <n v="15375"/>
    <n v="15375"/>
    <n v="1910"/>
    <n v="1910"/>
    <n v="1910"/>
    <n v="1000000"/>
    <n v="0"/>
    <x v="0"/>
    <n v="443223.44322344323"/>
    <n v="556776.55677655677"/>
    <n v="0.33"/>
    <n v="0.16"/>
    <n v="0.51"/>
    <s v="Part of global WASH project with Rakhine State - Costs in EUROS"/>
    <m/>
  </r>
  <r>
    <x v="12"/>
    <s v="SCI/KBC"/>
    <x v="5"/>
    <m/>
    <s v="Water, Sanitation Hygiene and emergency Shelter and NFI rapid response for people affected by conflict induced displacements and natural disasters in Kachin and Northern Shan States"/>
    <d v="2015-10-01T00:00:00"/>
    <d v="2016-09-30T00:00:00"/>
    <s v="In soumission"/>
    <x v="3"/>
    <n v="3000"/>
    <n v="0.5"/>
    <n v="0.5"/>
    <n v="0.28999999999999998"/>
    <n v="0.35"/>
    <n v="0.36"/>
    <n v="0.5"/>
    <n v="0.5"/>
    <n v="3000"/>
    <n v="3000"/>
    <n v="3000"/>
    <n v="0"/>
    <n v="0"/>
    <n v="0"/>
    <n v="269718"/>
    <n v="0"/>
    <x v="0"/>
    <n v="67244.761643835605"/>
    <n v="202473.23835616439"/>
    <n v="1"/>
    <n v="0.14000000000000001"/>
    <n v="0.59"/>
    <n v="0.26"/>
    <s v="Emergency programme (approximate numbers)"/>
  </r>
  <r>
    <x v="13"/>
    <s v="KMSS"/>
    <x v="16"/>
    <m/>
    <s v="WASH activity and distribution of Hygiene Kits in Myitkyina and Lashio"/>
    <d v="2013-07-01T00:00:00"/>
    <d v="2014-03-31T00:00:00"/>
    <s v="Completed"/>
    <x v="1"/>
    <n v="9561"/>
    <n v="0.2"/>
    <n v="0.8"/>
    <m/>
    <m/>
    <m/>
    <n v="1"/>
    <n v="0"/>
    <n v="5383"/>
    <n v="1844"/>
    <n v="9066"/>
    <n v="0"/>
    <n v="0"/>
    <n v="0"/>
    <n v="245165"/>
    <n v="165239.41391941393"/>
    <x v="27"/>
    <n v="0"/>
    <n v="0"/>
    <n v="1"/>
    <n v="0.38"/>
    <n v="0.11"/>
    <n v="0.51"/>
    <m/>
  </r>
  <r>
    <x v="13"/>
    <s v="KMSS"/>
    <x v="16"/>
    <m/>
    <s v="Kachin Comprehensive humanitarian response phases 6"/>
    <d v="2015-06-01T00:00:00"/>
    <d v="2015-12-31T00:00:00"/>
    <s v="Active"/>
    <x v="3"/>
    <n v="6432"/>
    <n v="0.31"/>
    <n v="0.69"/>
    <n v="0.14000000000000001"/>
    <n v="0.01"/>
    <n v="0.85"/>
    <n v="1"/>
    <n v="0"/>
    <n v="2858"/>
    <n v="1972"/>
    <n v="6432"/>
    <n v="0"/>
    <n v="0"/>
    <n v="0"/>
    <n v="154118"/>
    <n v="0"/>
    <x v="0"/>
    <n v="154118"/>
    <n v="0"/>
    <n v="1"/>
    <n v="0.32"/>
    <n v="0.59"/>
    <n v="0.04"/>
    <m/>
  </r>
  <r>
    <x v="14"/>
    <m/>
    <x v="17"/>
    <m/>
    <m/>
    <d v="2012-04-17T00:00:00"/>
    <d v="2012-12-31T00:00:00"/>
    <s v="Completed"/>
    <x v="0"/>
    <n v="86740"/>
    <n v="0.42569748674198754"/>
    <n v="0.56999999999999995"/>
    <n v="0"/>
    <n v="0.26861886096379989"/>
    <n v="0.73"/>
    <n v="1"/>
    <n v="0"/>
    <n v="36740"/>
    <n v="36740"/>
    <n v="36740"/>
    <m/>
    <m/>
    <m/>
    <n v="981022.61"/>
    <n v="981022.61"/>
    <x v="0"/>
    <n v="0"/>
    <n v="0"/>
    <m/>
    <m/>
    <m/>
    <m/>
    <m/>
  </r>
  <r>
    <x v="14"/>
    <m/>
    <x v="17"/>
    <m/>
    <m/>
    <d v="2013-09-16T00:00:00"/>
    <d v="2014-06-30T00:00:00"/>
    <s v="Completed"/>
    <x v="1"/>
    <n v="25000"/>
    <n v="9.7640000000000005E-2"/>
    <n v="0.75"/>
    <n v="9.1639999999999999E-2"/>
    <n v="0"/>
    <n v="0.77"/>
    <n v="1"/>
    <n v="0"/>
    <n v="5989"/>
    <n v="5462"/>
    <n v="6137"/>
    <m/>
    <m/>
    <m/>
    <n v="514030"/>
    <n v="191641.84668989549"/>
    <x v="28"/>
    <n v="0"/>
    <n v="0"/>
    <m/>
    <m/>
    <m/>
    <m/>
    <m/>
  </r>
  <r>
    <x v="14"/>
    <m/>
    <x v="17"/>
    <m/>
    <m/>
    <d v="2014-04-01T00:00:00"/>
    <d v="2014-12-31T00:00:00"/>
    <s v="Completed"/>
    <x v="2"/>
    <n v="3088"/>
    <n v="0"/>
    <n v="1"/>
    <n v="1"/>
    <n v="0"/>
    <n v="0"/>
    <n v="1"/>
    <n v="0"/>
    <n v="0"/>
    <m/>
    <m/>
    <m/>
    <m/>
    <m/>
    <n v="700000"/>
    <n v="0"/>
    <x v="29"/>
    <n v="0"/>
    <n v="0"/>
    <m/>
    <m/>
    <m/>
    <m/>
    <m/>
  </r>
  <r>
    <x v="14"/>
    <m/>
    <x v="17"/>
    <m/>
    <m/>
    <d v="2015-09-28T00:00:00"/>
    <d v="2016-06-30T00:00:00"/>
    <s v="Active"/>
    <x v="3"/>
    <n v="22447"/>
    <m/>
    <m/>
    <m/>
    <m/>
    <m/>
    <m/>
    <m/>
    <m/>
    <m/>
    <m/>
    <m/>
    <m/>
    <m/>
    <n v="400000"/>
    <n v="0"/>
    <x v="0"/>
    <n v="136231.88405797101"/>
    <n v="263768.11594202899"/>
    <m/>
    <m/>
    <m/>
    <m/>
    <m/>
  </r>
  <r>
    <x v="14"/>
    <m/>
    <x v="18"/>
    <m/>
    <m/>
    <d v="2014-04-01T00:00:00"/>
    <d v="2015-03-31T00:00:00"/>
    <s v="Completed"/>
    <x v="2"/>
    <m/>
    <m/>
    <m/>
    <m/>
    <m/>
    <m/>
    <m/>
    <m/>
    <m/>
    <m/>
    <m/>
    <m/>
    <m/>
    <m/>
    <n v="750000"/>
    <n v="0"/>
    <x v="30"/>
    <n v="185439.56043956045"/>
    <n v="0"/>
    <m/>
    <m/>
    <m/>
    <m/>
    <m/>
  </r>
  <r>
    <x v="14"/>
    <m/>
    <x v="13"/>
    <m/>
    <m/>
    <d v="2012-08-23T00:00:00"/>
    <d v="2014-09-30T00:00:00"/>
    <s v="Completed"/>
    <x v="0"/>
    <n v="58672"/>
    <n v="0.61"/>
    <n v="0.39"/>
    <n v="9.6076493046086717E-2"/>
    <n v="0.92570561767112081"/>
    <n v="0.33500000000000002"/>
    <n v="1"/>
    <n v="0"/>
    <n v="86580"/>
    <n v="86822"/>
    <n v="86822"/>
    <m/>
    <m/>
    <m/>
    <n v="1652740"/>
    <n v="1067394.5833333333"/>
    <x v="31"/>
    <n v="0"/>
    <n v="0"/>
    <m/>
    <m/>
    <m/>
    <m/>
    <m/>
  </r>
  <r>
    <x v="14"/>
    <m/>
    <x v="13"/>
    <m/>
    <m/>
    <d v="2015-01-01T00:00:00"/>
    <d v="2015-01-31T00:00:00"/>
    <s v="Active"/>
    <x v="3"/>
    <m/>
    <m/>
    <m/>
    <m/>
    <m/>
    <m/>
    <m/>
    <m/>
    <m/>
    <m/>
    <m/>
    <m/>
    <m/>
    <m/>
    <n v="300000"/>
    <n v="0"/>
    <x v="0"/>
    <n v="300000"/>
    <n v="0"/>
    <m/>
    <m/>
    <m/>
    <m/>
    <m/>
  </r>
  <r>
    <x v="14"/>
    <m/>
    <x v="19"/>
    <m/>
    <s v="Secondment of a WASH emergency officer to UNICEF for work in Kachin"/>
    <d v="2013-01-03T00:00:00"/>
    <d v="2013-01-31T00:00:00"/>
    <s v="Completed"/>
    <x v="1"/>
    <n v="0"/>
    <n v="0.5"/>
    <n v="0.5"/>
    <n v="0.33"/>
    <n v="0.33"/>
    <n v="0.33"/>
    <n v="1"/>
    <n v="0"/>
    <m/>
    <m/>
    <m/>
    <m/>
    <m/>
    <m/>
    <n v="106270"/>
    <n v="106270"/>
    <x v="0"/>
    <n v="0"/>
    <n v="0"/>
    <n v="1"/>
    <n v="0.33"/>
    <n v="0.33"/>
    <n v="0.33"/>
    <m/>
  </r>
  <r>
    <x v="14"/>
    <m/>
    <x v="19"/>
    <m/>
    <s v="Secondment of a WASH emergency Capacity building to UNICEF for work in Kachin"/>
    <d v="2014-02-01T00:00:00"/>
    <d v="2014-07-31T00:00:00"/>
    <s v="Completed"/>
    <x v="2"/>
    <n v="0"/>
    <n v="0.5"/>
    <n v="0.5"/>
    <n v="0.33"/>
    <n v="0.33"/>
    <n v="0.33"/>
    <n v="1"/>
    <n v="0"/>
    <m/>
    <m/>
    <m/>
    <m/>
    <m/>
    <m/>
    <n v="50000"/>
    <n v="0"/>
    <x v="32"/>
    <n v="0"/>
    <n v="0"/>
    <n v="1"/>
    <n v="0.33"/>
    <n v="0.33"/>
    <n v="0.33"/>
    <m/>
  </r>
</pivotCacheRecords>
</file>

<file path=xl/pivotCache/pivotCacheRecords2.xml><?xml version="1.0" encoding="utf-8"?>
<pivotCacheRecords xmlns="http://schemas.openxmlformats.org/spreadsheetml/2006/main" xmlns:r="http://schemas.openxmlformats.org/officeDocument/2006/relationships" count="172">
  <r>
    <x v="0"/>
    <s v="MMR001CMP050"/>
    <x v="0"/>
    <x v="0"/>
    <n v="97.243579999999994"/>
    <n v="24.260120000000001"/>
    <x v="0"/>
    <x v="0"/>
    <x v="0"/>
    <x v="0"/>
    <n v="71"/>
    <n v="383"/>
    <n v="434"/>
    <n v="383"/>
    <x v="0"/>
    <s v="ECHO"/>
    <s v="KMSS"/>
    <x v="0"/>
    <x v="0"/>
    <d v="2016-05-31T00:00:00"/>
    <s v="Focal NGO"/>
    <x v="0"/>
    <n v="0"/>
    <n v="0"/>
    <s v="No"/>
    <s v="No"/>
    <n v="0"/>
    <n v="0"/>
    <n v="25650"/>
    <n v="1"/>
    <n v="1"/>
    <s v="Ceramic Water filter"/>
    <n v="1"/>
    <n v="383"/>
    <n v="1"/>
    <n v="383"/>
    <n v="1"/>
    <n v="383"/>
    <x v="0"/>
    <n v="0"/>
    <n v="0"/>
    <n v="0.95750000000000002"/>
    <n v="71"/>
    <n v="383"/>
    <n v="1"/>
    <n v="383"/>
    <s v="1 DTW in this camp"/>
    <n v="0"/>
    <n v="4"/>
    <m/>
    <n v="8"/>
    <x v="0"/>
    <x v="0"/>
    <n v="0.62663185378590081"/>
    <n v="240"/>
    <n v="0.20887728459530031"/>
    <n v="80.000000000000014"/>
    <n v="0.4177545691906005"/>
    <n v="160"/>
    <n v="0"/>
    <n v="0.63"/>
    <n v="241.29"/>
    <n v="11.149999999999999"/>
    <n v="2"/>
    <s v="Separate, but not clearly perceived"/>
    <n v="0.52219321148825071"/>
    <n v="200.00000000000003"/>
    <n v="1.83"/>
    <n v="0.52"/>
    <n v="199.16"/>
    <n v="4"/>
    <n v="1"/>
    <n v="0"/>
    <n v="1"/>
    <m/>
    <d v="2016-02-02T00:00:00"/>
    <s v="Targetted Consumable only"/>
    <n v="0.45"/>
    <d v="2017-02-01T00:00:00"/>
    <n v="153"/>
    <n v="9"/>
    <n v="0"/>
    <n v="1"/>
    <n v="383"/>
    <n v="0"/>
    <m/>
    <n v="1"/>
    <n v="383"/>
    <n v="2"/>
    <s v="Excellent coverage"/>
    <n v="0"/>
    <x v="0"/>
    <m/>
  </r>
  <r>
    <x v="0"/>
    <s v="MMR001CMP050"/>
    <x v="0"/>
    <x v="1"/>
    <n v="97.238829999999993"/>
    <n v="24.260719999999999"/>
    <x v="0"/>
    <x v="0"/>
    <x v="0"/>
    <x v="0"/>
    <n v="161"/>
    <n v="784"/>
    <n v="965"/>
    <n v="784"/>
    <x v="0"/>
    <s v="ECHO"/>
    <s v="KMSS"/>
    <x v="0"/>
    <x v="0"/>
    <d v="2016-05-31T00:00:00"/>
    <s v="Focal NGO"/>
    <x v="0"/>
    <n v="0"/>
    <n v="0"/>
    <s v="No"/>
    <s v="No"/>
    <n v="2"/>
    <n v="5"/>
    <n v="54595"/>
    <n v="1"/>
    <n v="1"/>
    <s v="Ceramic Water filter"/>
    <n v="1"/>
    <n v="784"/>
    <n v="1"/>
    <n v="784"/>
    <n v="1"/>
    <n v="784"/>
    <x v="0"/>
    <n v="0"/>
    <n v="0"/>
    <n v="0"/>
    <n v="161"/>
    <n v="784"/>
    <n v="1"/>
    <n v="784"/>
    <s v="3 DTW in this camp"/>
    <n v="9"/>
    <n v="1"/>
    <m/>
    <n v="30"/>
    <x v="1"/>
    <x v="0"/>
    <n v="0.79081632653061229"/>
    <n v="620"/>
    <n v="2.5510204081632737E-2"/>
    <n v="20.000000000000064"/>
    <n v="0.76530612244897955"/>
    <n v="600"/>
    <n v="0"/>
    <n v="0.89"/>
    <n v="697.76"/>
    <n v="9.2000000000000028"/>
    <n v="3"/>
    <s v="Separate, but not clearly perceived"/>
    <n v="0.38265306122448978"/>
    <n v="300"/>
    <n v="4.84"/>
    <n v="0.38"/>
    <n v="297.92"/>
    <n v="8"/>
    <n v="1"/>
    <n v="0"/>
    <n v="1"/>
    <s v="We have plan 4 Semi- permanent Latrine"/>
    <d v="2016-02-02T00:00:00"/>
    <s v="Targetted Consumable only"/>
    <n v="0.45"/>
    <d v="2017-02-01T00:00:00"/>
    <n v="47"/>
    <n v="9"/>
    <n v="114"/>
    <n v="0.29192546583850931"/>
    <n v="228.86956521739131"/>
    <n v="0"/>
    <m/>
    <n v="1"/>
    <n v="784"/>
    <n v="5"/>
    <s v="Excellent coverage"/>
    <n v="0"/>
    <x v="0"/>
    <m/>
  </r>
  <r>
    <x v="0"/>
    <s v="MMR001CMP194"/>
    <x v="0"/>
    <x v="2"/>
    <n v="97.252650000000003"/>
    <n v="24.260466999999998"/>
    <x v="0"/>
    <x v="0"/>
    <x v="0"/>
    <x v="0"/>
    <n v="13"/>
    <n v="59"/>
    <n v="58"/>
    <n v="58"/>
    <x v="1"/>
    <s v="HIDA, WHH,USAID,UNICEF"/>
    <s v="KBC"/>
    <x v="1"/>
    <x v="0"/>
    <d v="2016-05-31T00:00:00"/>
    <s v="Focal NGO"/>
    <x v="0"/>
    <n v="0"/>
    <n v="0"/>
    <s v="No"/>
    <s v="No"/>
    <n v="1"/>
    <n v="0"/>
    <n v="0"/>
    <n v="0"/>
    <n v="0"/>
    <m/>
    <n v="1"/>
    <n v="58"/>
    <n v="1"/>
    <n v="58"/>
    <n v="1"/>
    <n v="58"/>
    <x v="0"/>
    <n v="0"/>
    <n v="0"/>
    <n v="0"/>
    <n v="0"/>
    <n v="0"/>
    <n v="1"/>
    <n v="58"/>
    <m/>
    <n v="9"/>
    <n v="3"/>
    <m/>
    <n v="0"/>
    <x v="0"/>
    <x v="1"/>
    <n v="1"/>
    <n v="58"/>
    <n v="1"/>
    <n v="58"/>
    <n v="0"/>
    <n v="0"/>
    <n v="0"/>
    <n v="1"/>
    <n v="58"/>
    <n v="2.9"/>
    <n v="0"/>
    <s v="Not separated yet"/>
    <n v="0"/>
    <n v="0"/>
    <n v="0.59"/>
    <n v="0"/>
    <n v="0"/>
    <n v="1"/>
    <n v="1"/>
    <n v="0"/>
    <n v="1"/>
    <s v="bathin was not need due to 4 HH only living in church compound"/>
    <d v="2014-05-12T00:00:00"/>
    <s v="Blanket Consumable only"/>
    <n v="0"/>
    <s v="To be realised"/>
    <n v="13"/>
    <n v="10"/>
    <n v="13"/>
    <n v="0"/>
    <n v="0"/>
    <n v="11"/>
    <m/>
    <n v="0"/>
    <n v="0"/>
    <n v="0"/>
    <s v="No coverage"/>
    <n v="0"/>
    <x v="0"/>
    <m/>
  </r>
  <r>
    <x v="0"/>
    <s v="MMR001CMP163"/>
    <x v="0"/>
    <x v="3"/>
    <n v="97.228769999999997"/>
    <n v="24.26502"/>
    <x v="1"/>
    <x v="0"/>
    <x v="0"/>
    <x v="1"/>
    <n v="211"/>
    <n v="989"/>
    <n v="965"/>
    <n v="965"/>
    <x v="0"/>
    <m/>
    <m/>
    <x v="2"/>
    <x v="1"/>
    <s v="Gap"/>
    <s v="Not documented"/>
    <x v="1"/>
    <n v="0"/>
    <n v="0"/>
    <s v="No"/>
    <s v="No"/>
    <n v="40"/>
    <n v="105"/>
    <n v="0"/>
    <n v="0"/>
    <n v="0"/>
    <m/>
    <n v="1"/>
    <n v="965"/>
    <n v="1"/>
    <n v="965"/>
    <n v="1"/>
    <n v="965"/>
    <x v="0"/>
    <n v="0"/>
    <n v="0"/>
    <n v="0"/>
    <n v="0"/>
    <n v="0"/>
    <n v="1"/>
    <n v="965"/>
    <m/>
    <n v="0"/>
    <n v="100"/>
    <m/>
    <n v="12"/>
    <x v="1"/>
    <x v="2"/>
    <n v="1"/>
    <n v="965"/>
    <n v="0.75129533678756477"/>
    <n v="725"/>
    <n v="0.24870466321243523"/>
    <n v="240"/>
    <n v="0"/>
    <n v="1"/>
    <n v="965"/>
    <n v="36.25"/>
    <n v="163"/>
    <s v="Not separated yet"/>
    <n v="1"/>
    <n v="965"/>
    <n v="0"/>
    <n v="1"/>
    <n v="965"/>
    <n v="0"/>
    <n v="0"/>
    <n v="9.89"/>
    <n v="0"/>
    <m/>
    <d v="2015-06-18T00:00:00"/>
    <s v="Associated with H.E as incentive"/>
    <n v="0.55000000000000004"/>
    <d v="2016-06-17T00:00:00"/>
    <n v="118"/>
    <n v="0"/>
    <n v="93"/>
    <n v="0.55924170616113744"/>
    <n v="539.66824644549763"/>
    <n v="8"/>
    <m/>
    <n v="0"/>
    <n v="0"/>
    <n v="4"/>
    <s v="Excellent coverage"/>
    <n v="0"/>
    <x v="1"/>
    <m/>
  </r>
  <r>
    <x v="0"/>
    <s v="MMR001CMP052"/>
    <x v="0"/>
    <x v="4"/>
    <n v="97.236919999999998"/>
    <n v="24.24766"/>
    <x v="0"/>
    <x v="0"/>
    <x v="0"/>
    <x v="0"/>
    <n v="44"/>
    <n v="235"/>
    <n v="241"/>
    <n v="241"/>
    <x v="1"/>
    <s v="HIDA, WHH,USAID,UNICEF"/>
    <s v="KBC"/>
    <x v="1"/>
    <x v="0"/>
    <d v="2016-05-31T00:00:00"/>
    <s v="Focal NGO"/>
    <x v="0"/>
    <n v="0"/>
    <n v="0"/>
    <s v="No"/>
    <s v="No"/>
    <n v="1"/>
    <n v="0"/>
    <n v="14400"/>
    <n v="0"/>
    <n v="0"/>
    <m/>
    <n v="1"/>
    <n v="241"/>
    <n v="1"/>
    <n v="241"/>
    <n v="1"/>
    <n v="241"/>
    <x v="0"/>
    <n v="0"/>
    <n v="0"/>
    <n v="0"/>
    <n v="0"/>
    <n v="0"/>
    <n v="1"/>
    <n v="241"/>
    <m/>
    <n v="285"/>
    <n v="0"/>
    <m/>
    <n v="6"/>
    <x v="0"/>
    <x v="0"/>
    <n v="0.49792531120331951"/>
    <n v="120"/>
    <n v="0"/>
    <n v="0"/>
    <n v="0.49792531120331951"/>
    <n v="120"/>
    <n v="0"/>
    <n v="0.5"/>
    <n v="120.5"/>
    <n v="6.0500000000000007"/>
    <n v="2"/>
    <s v="Separate, but not clearly perceived"/>
    <n v="0.82987551867219922"/>
    <n v="200"/>
    <n v="0.35000000000000009"/>
    <n v="0.83"/>
    <n v="200.03"/>
    <n v="2"/>
    <n v="0.82987551867219922"/>
    <n v="0.35000000000000009"/>
    <n v="0.83"/>
    <m/>
    <d v="2014-07-08T00:00:00"/>
    <s v="Blanket Consumable only"/>
    <n v="0"/>
    <s v="To be realised"/>
    <n v="46"/>
    <n v="10"/>
    <n v="44"/>
    <n v="0"/>
    <n v="0"/>
    <n v="9"/>
    <m/>
    <n v="0.8"/>
    <n v="192.8"/>
    <n v="0"/>
    <s v="No coverage"/>
    <n v="0"/>
    <x v="2"/>
    <m/>
  </r>
  <r>
    <x v="0"/>
    <s v="MMR001CMP049"/>
    <x v="0"/>
    <x v="5"/>
    <n v="97.241630000000001"/>
    <n v="24.266110000000001"/>
    <x v="0"/>
    <x v="0"/>
    <x v="0"/>
    <x v="0"/>
    <n v="116"/>
    <n v="659"/>
    <n v="625"/>
    <n v="625"/>
    <x v="0"/>
    <s v="HIDA, WHH,USAID,UNICEF"/>
    <s v="Shalom"/>
    <x v="1"/>
    <x v="0"/>
    <d v="2016-05-31T00:00:00"/>
    <s v="Focal NGO"/>
    <x v="0"/>
    <n v="0"/>
    <n v="0"/>
    <s v="No"/>
    <s v="No"/>
    <n v="3"/>
    <n v="0"/>
    <n v="13500"/>
    <n v="0"/>
    <n v="0"/>
    <m/>
    <n v="1"/>
    <n v="625"/>
    <n v="1"/>
    <n v="625"/>
    <n v="1"/>
    <n v="625"/>
    <x v="0"/>
    <n v="0"/>
    <n v="0"/>
    <n v="0"/>
    <n v="0"/>
    <n v="0"/>
    <n v="1"/>
    <n v="625"/>
    <m/>
    <n v="112"/>
    <n v="9"/>
    <m/>
    <n v="16"/>
    <x v="1"/>
    <x v="0"/>
    <n v="0.8"/>
    <n v="500"/>
    <n v="0.28800000000000003"/>
    <n v="180.00000000000003"/>
    <n v="0.51200000000000001"/>
    <n v="320"/>
    <n v="0"/>
    <n v="0.8"/>
    <n v="500"/>
    <n v="15.25"/>
    <n v="5"/>
    <s v="Separate, clearly perceived"/>
    <n v="0.8"/>
    <n v="500"/>
    <n v="1.5899999999999999"/>
    <n v="0.8"/>
    <n v="500"/>
    <n v="7"/>
    <n v="1"/>
    <n v="0"/>
    <n v="1"/>
    <m/>
    <d v="2014-05-07T00:00:00"/>
    <s v="Blanket Consumable only"/>
    <n v="0"/>
    <s v="To be realised"/>
    <n v="103"/>
    <n v="10"/>
    <n v="116"/>
    <n v="0"/>
    <n v="0"/>
    <n v="11"/>
    <m/>
    <n v="0.8"/>
    <n v="500"/>
    <n v="1"/>
    <s v="Good coverage"/>
    <n v="0"/>
    <x v="2"/>
    <m/>
  </r>
  <r>
    <x v="0"/>
    <s v="MMR001CMP051"/>
    <x v="0"/>
    <x v="6"/>
    <n v="97.234200000000001"/>
    <n v="24.253067000000001"/>
    <x v="0"/>
    <x v="0"/>
    <x v="0"/>
    <x v="0"/>
    <n v="23"/>
    <n v="86"/>
    <n v="90"/>
    <n v="90"/>
    <x v="1"/>
    <s v="HIDA, WHH,USAID,UNICEF"/>
    <s v="Shalom"/>
    <x v="1"/>
    <x v="0"/>
    <d v="2016-05-31T00:00:00"/>
    <s v="Focal NGO"/>
    <x v="0"/>
    <n v="0"/>
    <n v="0"/>
    <s v="No"/>
    <s v="No"/>
    <n v="0"/>
    <n v="2"/>
    <n v="0"/>
    <n v="0"/>
    <n v="0"/>
    <m/>
    <n v="1"/>
    <n v="90"/>
    <n v="1"/>
    <n v="90"/>
    <n v="1"/>
    <n v="90"/>
    <x v="0"/>
    <n v="0"/>
    <n v="0"/>
    <n v="0"/>
    <n v="0"/>
    <n v="0"/>
    <n v="1"/>
    <n v="90"/>
    <m/>
    <n v="25"/>
    <n v="0"/>
    <m/>
    <n v="4"/>
    <x v="0"/>
    <x v="1"/>
    <n v="0.88888888888888884"/>
    <n v="80"/>
    <n v="0"/>
    <n v="0"/>
    <n v="0.88888888888888884"/>
    <n v="80"/>
    <n v="0"/>
    <n v="0.9"/>
    <n v="81"/>
    <n v="0.5"/>
    <n v="2"/>
    <s v="Not separated yet"/>
    <n v="1"/>
    <n v="90"/>
    <n v="0"/>
    <n v="1"/>
    <n v="90"/>
    <n v="2"/>
    <n v="1"/>
    <n v="0"/>
    <n v="1"/>
    <m/>
    <d v="2014-05-07T00:00:00"/>
    <s v="Blanket Consumable only"/>
    <n v="0"/>
    <s v="To be realised"/>
    <n v="19"/>
    <n v="10"/>
    <n v="23"/>
    <n v="0"/>
    <n v="0"/>
    <n v="11"/>
    <m/>
    <n v="0.8"/>
    <n v="72"/>
    <n v="1"/>
    <s v="Excellent coverage"/>
    <n v="0"/>
    <x v="2"/>
    <m/>
  </r>
  <r>
    <x v="0"/>
    <s v="MMR001CMP054"/>
    <x v="0"/>
    <x v="7"/>
    <n v="97.315860000000001"/>
    <n v="24.32638"/>
    <x v="0"/>
    <x v="0"/>
    <x v="1"/>
    <x v="0"/>
    <n v="23"/>
    <n v="124"/>
    <n v="125"/>
    <n v="125"/>
    <x v="1"/>
    <s v="HIDA, WHH,USAID,UNICEF"/>
    <s v="KMSS"/>
    <x v="1"/>
    <x v="0"/>
    <d v="2016-05-31T00:00:00"/>
    <s v="Focal NGO"/>
    <x v="0"/>
    <n v="0"/>
    <n v="0"/>
    <s v="No"/>
    <s v="No"/>
    <n v="0"/>
    <n v="0"/>
    <n v="4860"/>
    <n v="0"/>
    <n v="0"/>
    <m/>
    <n v="1"/>
    <n v="125"/>
    <n v="1"/>
    <n v="125"/>
    <n v="1"/>
    <n v="125"/>
    <x v="0"/>
    <n v="0"/>
    <n v="0"/>
    <n v="0.3125"/>
    <n v="0"/>
    <n v="0"/>
    <n v="1"/>
    <n v="125"/>
    <m/>
    <n v="5"/>
    <n v="0"/>
    <m/>
    <n v="10"/>
    <x v="1"/>
    <x v="3"/>
    <n v="1"/>
    <n v="125"/>
    <n v="0"/>
    <n v="0"/>
    <n v="1"/>
    <n v="125"/>
    <n v="0"/>
    <n v="1"/>
    <n v="125"/>
    <n v="0"/>
    <n v="2"/>
    <s v="Separate, clearly perceived"/>
    <n v="1"/>
    <n v="125"/>
    <n v="0"/>
    <n v="1"/>
    <n v="125"/>
    <n v="1"/>
    <n v="0.8"/>
    <n v="0.24"/>
    <n v="0.81310000000000004"/>
    <m/>
    <d v="2014-07-14T00:00:00"/>
    <s v="Blanket Consumable only"/>
    <n v="0"/>
    <s v="To be realised"/>
    <n v="22"/>
    <n v="10"/>
    <n v="23"/>
    <n v="0"/>
    <n v="0"/>
    <n v="9"/>
    <m/>
    <n v="0.8"/>
    <n v="100"/>
    <n v="1"/>
    <s v="Excellent coverage"/>
    <n v="0"/>
    <x v="0"/>
    <s v="hygiene awareness is conducting by volunteer from Htoi San camp"/>
  </r>
  <r>
    <x v="0"/>
    <s v="MMR001CMP193"/>
    <x v="0"/>
    <x v="8"/>
    <n v="97.252650000000003"/>
    <n v="24.222349999999999"/>
    <x v="0"/>
    <x v="0"/>
    <x v="0"/>
    <x v="0"/>
    <n v="149"/>
    <n v="745"/>
    <n v="749"/>
    <n v="745"/>
    <x v="0"/>
    <s v="ECHO"/>
    <s v="KBC"/>
    <x v="0"/>
    <x v="0"/>
    <d v="2016-05-31T00:00:00"/>
    <s v="Focal NGO"/>
    <x v="0"/>
    <n v="0"/>
    <n v="0"/>
    <s v="No"/>
    <s v="No"/>
    <n v="0"/>
    <n v="0"/>
    <n v="55240"/>
    <n v="1"/>
    <n v="1"/>
    <s v="Ceramic Water filter"/>
    <n v="1"/>
    <n v="745"/>
    <n v="1"/>
    <n v="745"/>
    <n v="1"/>
    <n v="745"/>
    <x v="0"/>
    <n v="0"/>
    <n v="0"/>
    <n v="1.8625"/>
    <n v="149"/>
    <n v="745"/>
    <n v="1"/>
    <n v="745"/>
    <s v="4 DTW in this camp"/>
    <n v="0"/>
    <n v="23"/>
    <m/>
    <n v="22"/>
    <x v="0"/>
    <x v="0"/>
    <n v="1"/>
    <n v="745"/>
    <n v="0.40939597315436238"/>
    <n v="305"/>
    <n v="0.59060402684563762"/>
    <n v="440"/>
    <n v="0"/>
    <n v="1"/>
    <n v="745"/>
    <n v="15.25"/>
    <n v="8"/>
    <s v="Separate, clearly perceived"/>
    <n v="1"/>
    <n v="745"/>
    <n v="0"/>
    <n v="1"/>
    <n v="745"/>
    <n v="18"/>
    <n v="1"/>
    <n v="0"/>
    <n v="1"/>
    <s v="We have plan 8 Semi- permanent Latrine "/>
    <d v="2016-02-02T00:00:00"/>
    <s v="Targetted Consumable only"/>
    <n v="0.45"/>
    <d v="2017-02-01T00:00:00"/>
    <n v="133"/>
    <n v="9"/>
    <n v="16"/>
    <n v="0.89261744966442957"/>
    <n v="665"/>
    <n v="0"/>
    <m/>
    <n v="1"/>
    <n v="745"/>
    <n v="7"/>
    <s v="Excellent coverage"/>
    <n v="0"/>
    <x v="0"/>
    <m/>
  </r>
  <r>
    <x v="0"/>
    <s v="MMR001CMP047"/>
    <x v="0"/>
    <x v="9"/>
    <n v="97.228769999999997"/>
    <n v="24.26502"/>
    <x v="0"/>
    <x v="0"/>
    <x v="0"/>
    <x v="0"/>
    <n v="618"/>
    <n v="3755"/>
    <n v="3781"/>
    <n v="3755"/>
    <x v="2"/>
    <s v="ECHO"/>
    <s v="KBC"/>
    <x v="0"/>
    <x v="0"/>
    <d v="2016-05-31T00:00:00"/>
    <s v="Focal NGO"/>
    <x v="0"/>
    <n v="0"/>
    <n v="0"/>
    <s v="No"/>
    <s v="No"/>
    <n v="2"/>
    <n v="19"/>
    <n v="115116"/>
    <n v="1"/>
    <n v="1"/>
    <s v="Ceramic Water filter"/>
    <n v="1"/>
    <n v="3755"/>
    <n v="1"/>
    <n v="3755"/>
    <n v="1"/>
    <n v="3755"/>
    <x v="0"/>
    <n v="0"/>
    <n v="0"/>
    <n v="0"/>
    <n v="618"/>
    <n v="3755"/>
    <n v="1"/>
    <n v="3755"/>
    <s v="2 DTW in this camp"/>
    <n v="4"/>
    <n v="42"/>
    <m/>
    <n v="111"/>
    <x v="0"/>
    <x v="0"/>
    <n v="0.81491344873501992"/>
    <n v="3060"/>
    <n v="0.22370173102529956"/>
    <n v="839.99999999999977"/>
    <n v="0.59121171770972036"/>
    <n v="2220"/>
    <n v="4"/>
    <n v="0.9"/>
    <n v="3379.5"/>
    <n v="80.75"/>
    <n v="11"/>
    <s v="Separate, but not clearly perceived"/>
    <n v="0.29294274300932088"/>
    <n v="1100"/>
    <n v="26.549999999999997"/>
    <n v="0.28999999999999998"/>
    <n v="1088.9499999999998"/>
    <n v="34"/>
    <n v="0.90545938748335553"/>
    <n v="3.5499999999999972"/>
    <n v="0.91"/>
    <s v="We have plan 16 Semi- permanent Latrine"/>
    <d v="2016-02-08T00:00:00"/>
    <s v="Targetted Consumable only"/>
    <n v="0.45"/>
    <d v="2017-02-07T00:00:00"/>
    <n v="513"/>
    <n v="9"/>
    <n v="105"/>
    <n v="0.83009708737864074"/>
    <n v="3117.0145631067958"/>
    <n v="0"/>
    <m/>
    <n v="1"/>
    <n v="3755"/>
    <n v="11"/>
    <s v="Excellent coverage"/>
    <n v="0"/>
    <x v="0"/>
    <m/>
  </r>
  <r>
    <x v="0"/>
    <s v="MMR001CMP055"/>
    <x v="0"/>
    <x v="10"/>
    <n v="97.227789999999999"/>
    <n v="24.29138"/>
    <x v="0"/>
    <x v="0"/>
    <x v="0"/>
    <x v="0"/>
    <n v="25"/>
    <n v="111"/>
    <n v="111"/>
    <n v="111"/>
    <x v="1"/>
    <s v="ECHO"/>
    <s v="Shalom"/>
    <x v="0"/>
    <x v="0"/>
    <d v="2016-05-31T00:00:00"/>
    <s v="Focal NGO"/>
    <x v="0"/>
    <n v="0"/>
    <n v="0"/>
    <s v="No"/>
    <s v="No"/>
    <n v="0"/>
    <n v="0"/>
    <n v="20370"/>
    <n v="0"/>
    <n v="1"/>
    <s v="Ceramic Water filter"/>
    <n v="1"/>
    <n v="111"/>
    <n v="1"/>
    <n v="111"/>
    <n v="1"/>
    <n v="111"/>
    <x v="0"/>
    <n v="0"/>
    <n v="0"/>
    <n v="0.27750000000000002"/>
    <n v="25"/>
    <n v="0"/>
    <n v="1"/>
    <n v="111"/>
    <s v="3 shallow tube well with engine  in this camp"/>
    <n v="2"/>
    <n v="6"/>
    <m/>
    <n v="10"/>
    <x v="0"/>
    <x v="0"/>
    <n v="1"/>
    <n v="111"/>
    <n v="0"/>
    <n v="0"/>
    <n v="1"/>
    <n v="111"/>
    <n v="0"/>
    <n v="1"/>
    <n v="111"/>
    <n v="0"/>
    <n v="4"/>
    <s v="Separate, clearly perceived"/>
    <n v="1"/>
    <n v="111"/>
    <n v="0"/>
    <n v="1"/>
    <n v="111"/>
    <n v="5"/>
    <n v="1"/>
    <n v="0"/>
    <n v="1"/>
    <m/>
    <d v="2016-02-04T00:00:00"/>
    <s v="Targetted Consumable only"/>
    <n v="0.45"/>
    <d v="2017-02-03T00:00:00"/>
    <n v="22"/>
    <n v="9"/>
    <n v="3"/>
    <n v="0.88"/>
    <n v="97.68"/>
    <n v="0"/>
    <m/>
    <n v="1"/>
    <n v="111"/>
    <n v="1"/>
    <s v="Excellent coverage"/>
    <n v="0"/>
    <x v="0"/>
    <m/>
  </r>
  <r>
    <x v="0"/>
    <s v="MMR001CMP053"/>
    <x v="0"/>
    <x v="11"/>
    <n v="97.246889999999993"/>
    <n v="24.244129999999998"/>
    <x v="0"/>
    <x v="0"/>
    <x v="0"/>
    <x v="0"/>
    <n v="15"/>
    <n v="64"/>
    <n v="75"/>
    <n v="75"/>
    <x v="1"/>
    <s v="HIDA, WHH,USAID,UNICEF"/>
    <s v="Shalom"/>
    <x v="1"/>
    <x v="0"/>
    <d v="2016-05-31T00:00:00"/>
    <s v="Focal NGO"/>
    <x v="0"/>
    <n v="0"/>
    <n v="0"/>
    <s v="No"/>
    <s v="No"/>
    <n v="0"/>
    <n v="2"/>
    <n v="3915"/>
    <n v="0"/>
    <n v="0"/>
    <m/>
    <n v="1"/>
    <n v="75"/>
    <n v="1"/>
    <n v="75"/>
    <n v="1"/>
    <n v="75"/>
    <x v="0"/>
    <n v="0"/>
    <n v="0"/>
    <n v="0"/>
    <n v="0"/>
    <n v="0"/>
    <n v="1"/>
    <n v="75"/>
    <m/>
    <n v="34"/>
    <n v="0"/>
    <m/>
    <n v="10"/>
    <x v="1"/>
    <x v="3"/>
    <n v="1"/>
    <n v="75"/>
    <n v="0"/>
    <n v="0"/>
    <n v="1"/>
    <n v="75"/>
    <n v="0"/>
    <n v="1"/>
    <n v="75"/>
    <n v="0"/>
    <n v="1"/>
    <s v="Not separated yet"/>
    <n v="1"/>
    <n v="75"/>
    <n v="0"/>
    <n v="1"/>
    <n v="75"/>
    <n v="1"/>
    <n v="1"/>
    <n v="0"/>
    <n v="1"/>
    <m/>
    <d v="2014-05-07T00:00:00"/>
    <s v="Blanket Consumable only"/>
    <n v="0"/>
    <s v="To be realised"/>
    <n v="17"/>
    <n v="10"/>
    <n v="15"/>
    <n v="0"/>
    <n v="0"/>
    <n v="11"/>
    <m/>
    <n v="0.8"/>
    <n v="60"/>
    <n v="0"/>
    <s v="No coverage"/>
    <n v="0"/>
    <x v="2"/>
    <m/>
  </r>
  <r>
    <x v="1"/>
    <m/>
    <x v="1"/>
    <x v="12"/>
    <n v="98.134313888888897"/>
    <n v="25.8873472222222"/>
    <x v="2"/>
    <x v="0"/>
    <x v="0"/>
    <x v="2"/>
    <m/>
    <n v="45"/>
    <n v="45"/>
    <n v="45"/>
    <x v="1"/>
    <m/>
    <s v="KMSS"/>
    <x v="2"/>
    <x v="1"/>
    <s v="Gap"/>
    <s v="Not documented"/>
    <x v="1"/>
    <n v="0"/>
    <n v="0"/>
    <s v="No"/>
    <s v="No"/>
    <n v="0"/>
    <n v="0"/>
    <n v="860"/>
    <n v="0"/>
    <n v="1"/>
    <s v="Water Filter Made in China"/>
    <n v="1"/>
    <n v="45"/>
    <n v="1"/>
    <n v="45"/>
    <n v="1"/>
    <n v="45"/>
    <x v="0"/>
    <n v="0"/>
    <n v="0"/>
    <n v="0.1125"/>
    <n v="0"/>
    <n v="0"/>
    <n v="1"/>
    <n v="45"/>
    <m/>
    <n v="19"/>
    <n v="2"/>
    <m/>
    <n v="2"/>
    <x v="2"/>
    <x v="3"/>
    <n v="1"/>
    <n v="45"/>
    <n v="0.11111111111111116"/>
    <n v="5.0000000000000018"/>
    <n v="0.88888888888888884"/>
    <n v="40"/>
    <n v="0"/>
    <n v="1"/>
    <n v="45"/>
    <n v="0.25"/>
    <n v="2"/>
    <s v="Separate, clearly perceived"/>
    <n v="1"/>
    <n v="45"/>
    <n v="0"/>
    <n v="1"/>
    <n v="45"/>
    <n v="5"/>
    <n v="1"/>
    <n v="0"/>
    <n v="1"/>
    <m/>
    <d v="2014-05-21T00:00:00"/>
    <s v="Blanket Full HK + consumable refilling"/>
    <n v="0"/>
    <s v="To be realised"/>
    <n v="43"/>
    <n v="10"/>
    <n v="0"/>
    <n v="1"/>
    <n v="45"/>
    <n v="11"/>
    <m/>
    <n v="0"/>
    <n v="0"/>
    <n v="4"/>
    <s v="Excellent coverage"/>
    <n v="0"/>
    <x v="0"/>
    <m/>
  </r>
  <r>
    <x v="1"/>
    <s v="MMR001CMP042"/>
    <x v="1"/>
    <x v="13"/>
    <n v="98.131264999999999"/>
    <n v="25.885922999999998"/>
    <x v="0"/>
    <x v="0"/>
    <x v="0"/>
    <x v="0"/>
    <n v="105"/>
    <n v="323"/>
    <n v="459"/>
    <n v="552"/>
    <x v="0"/>
    <s v="AusAid"/>
    <s v="Shalom"/>
    <x v="2"/>
    <x v="1"/>
    <s v="Gap"/>
    <s v="Not documented"/>
    <x v="1"/>
    <n v="0"/>
    <n v="0"/>
    <m/>
    <s v="No"/>
    <n v="0"/>
    <n v="0"/>
    <n v="12760"/>
    <n v="0"/>
    <n v="0"/>
    <m/>
    <n v="1"/>
    <n v="552"/>
    <n v="1"/>
    <n v="552"/>
    <n v="1"/>
    <n v="552"/>
    <x v="0"/>
    <n v="0"/>
    <n v="0"/>
    <n v="1.38"/>
    <n v="0"/>
    <n v="0"/>
    <n v="1"/>
    <n v="552"/>
    <m/>
    <n v="42"/>
    <n v="11"/>
    <m/>
    <n v="13"/>
    <x v="1"/>
    <x v="0"/>
    <n v="0.86956521739130432"/>
    <n v="480"/>
    <n v="0.39855072463768115"/>
    <n v="220"/>
    <n v="0.47101449275362317"/>
    <n v="260"/>
    <n v="0"/>
    <n v="1"/>
    <n v="552"/>
    <n v="14.600000000000001"/>
    <n v="5"/>
    <s v="Separate, clearly perceived"/>
    <n v="0.90579710144927539"/>
    <n v="500"/>
    <n v="0"/>
    <n v="1"/>
    <n v="552"/>
    <n v="3"/>
    <n v="0.54347826086956519"/>
    <n v="0.22999999999999998"/>
    <n v="0.57999999999999996"/>
    <m/>
    <d v="2015-02-13T00:00:00"/>
    <s v="Blanket Consumable only"/>
    <m/>
    <s v="To be realised"/>
    <n v="105"/>
    <n v="7"/>
    <n v="105"/>
    <n v="0"/>
    <n v="0"/>
    <n v="5"/>
    <m/>
    <n v="0"/>
    <n v="0"/>
    <n v="2"/>
    <s v="Excellent coverage"/>
    <n v="0"/>
    <x v="0"/>
    <m/>
  </r>
  <r>
    <x v="1"/>
    <s v="MMR001CMP043"/>
    <x v="1"/>
    <x v="14"/>
    <n v="98.475719999999995"/>
    <n v="25.754110000000001"/>
    <x v="0"/>
    <x v="1"/>
    <x v="2"/>
    <x v="0"/>
    <n v="153"/>
    <n v="873"/>
    <n v="820"/>
    <n v="820"/>
    <x v="0"/>
    <s v="CIDA"/>
    <s v="KBC"/>
    <x v="2"/>
    <x v="1"/>
    <s v="Gap"/>
    <s v="Not documented"/>
    <x v="1"/>
    <n v="0"/>
    <n v="36144"/>
    <s v="Yes"/>
    <s v="No"/>
    <n v="0"/>
    <n v="0"/>
    <n v="0"/>
    <n v="0"/>
    <n v="0"/>
    <m/>
    <n v="9.7951219512195112E-2"/>
    <n v="80.319999999999993"/>
    <n v="0"/>
    <n v="0"/>
    <n v="9.7951219512195112E-2"/>
    <n v="80.319999999999993"/>
    <x v="1"/>
    <n v="9.7951219512195112E-2"/>
    <n v="80.319999999999993"/>
    <n v="2.0499999999999998"/>
    <n v="0"/>
    <n v="0"/>
    <n v="1"/>
    <n v="820"/>
    <s v="Water depletion "/>
    <n v="5"/>
    <n v="44"/>
    <n v="44"/>
    <n v="0"/>
    <x v="2"/>
    <x v="0"/>
    <n v="1"/>
    <n v="820"/>
    <n v="1"/>
    <n v="820"/>
    <n v="0"/>
    <n v="0"/>
    <n v="0"/>
    <n v="1"/>
    <n v="820"/>
    <n v="41"/>
    <n v="4"/>
    <s v="Not separated yet"/>
    <n v="0.48780487804878048"/>
    <n v="400"/>
    <n v="4.7300000000000004"/>
    <n v="0.49"/>
    <n v="401.8"/>
    <n v="0"/>
    <n v="0"/>
    <n v="8.73"/>
    <n v="0"/>
    <s v="Semi-permanent latrines not possible due to rocky land and logisitc issue. Old 10 Hand washing were already out of used. "/>
    <d v="2015-02-18T00:00:00"/>
    <s v="Blanket Full HK + consumable refilling"/>
    <m/>
    <s v="To be realised"/>
    <n v="155"/>
    <n v="4"/>
    <n v="153"/>
    <n v="0"/>
    <n v="0"/>
    <n v="8"/>
    <m/>
    <n v="0"/>
    <n v="0"/>
    <n v="2"/>
    <s v="Excellent coverage"/>
    <n v="0"/>
    <x v="0"/>
    <m/>
  </r>
  <r>
    <x v="1"/>
    <s v="MMR001CMP195"/>
    <x v="1"/>
    <x v="15"/>
    <m/>
    <m/>
    <x v="0"/>
    <x v="0"/>
    <x v="0"/>
    <x v="0"/>
    <n v="147"/>
    <n v="605"/>
    <n v="426"/>
    <n v="649"/>
    <x v="0"/>
    <s v="AusAid"/>
    <s v="Shalom"/>
    <x v="2"/>
    <x v="1"/>
    <s v="Gap"/>
    <s v="Not documented"/>
    <x v="1"/>
    <n v="0"/>
    <n v="0"/>
    <m/>
    <s v="No"/>
    <n v="0"/>
    <n v="0"/>
    <n v="12760"/>
    <n v="0"/>
    <n v="0"/>
    <m/>
    <n v="1"/>
    <n v="649"/>
    <n v="1"/>
    <n v="649"/>
    <n v="1"/>
    <n v="649"/>
    <x v="0"/>
    <n v="0"/>
    <n v="0"/>
    <n v="1.6225000000000001"/>
    <n v="0"/>
    <n v="0"/>
    <n v="1"/>
    <n v="649"/>
    <m/>
    <n v="8"/>
    <n v="3"/>
    <m/>
    <n v="26"/>
    <x v="1"/>
    <x v="0"/>
    <n v="0.89368258859784289"/>
    <n v="580"/>
    <n v="9.2449922958397601E-2"/>
    <n v="60.000000000000043"/>
    <n v="0.80123266563944529"/>
    <n v="520"/>
    <n v="0"/>
    <n v="1"/>
    <n v="649"/>
    <n v="6.4500000000000028"/>
    <n v="8"/>
    <s v="Separate, clearly perceived"/>
    <n v="1"/>
    <n v="649"/>
    <n v="0"/>
    <n v="1"/>
    <n v="649"/>
    <n v="8"/>
    <n v="1"/>
    <n v="0"/>
    <n v="1"/>
    <m/>
    <d v="2015-02-13T00:00:00"/>
    <s v="Blanket Consumable only"/>
    <m/>
    <s v="To be realised"/>
    <n v="147"/>
    <n v="7"/>
    <n v="147"/>
    <n v="0"/>
    <n v="0"/>
    <n v="5"/>
    <m/>
    <n v="0"/>
    <n v="0"/>
    <n v="2"/>
    <s v="Excellent coverage"/>
    <n v="0"/>
    <x v="0"/>
    <m/>
  </r>
  <r>
    <x v="1"/>
    <s v="MMR001CMP210"/>
    <x v="1"/>
    <x v="16"/>
    <n v="98.376824999999997"/>
    <n v="25.598251999999999"/>
    <x v="0"/>
    <x v="0"/>
    <x v="1"/>
    <x v="0"/>
    <n v="63"/>
    <n v="307"/>
    <n v="323"/>
    <n v="323"/>
    <x v="0"/>
    <s v="DFID"/>
    <s v="KMSS"/>
    <x v="3"/>
    <x v="0"/>
    <d v="2016-12-31T00:00:00"/>
    <s v="Focal NGO"/>
    <x v="0"/>
    <n v="0"/>
    <n v="0"/>
    <s v="No"/>
    <s v="No"/>
    <n v="0"/>
    <n v="0"/>
    <n v="20250"/>
    <n v="0"/>
    <n v="1"/>
    <m/>
    <n v="1"/>
    <n v="323"/>
    <n v="1"/>
    <n v="323"/>
    <n v="1"/>
    <n v="323"/>
    <x v="0"/>
    <n v="0"/>
    <n v="0"/>
    <n v="0.8075"/>
    <n v="63"/>
    <n v="0"/>
    <n v="1"/>
    <n v="323"/>
    <m/>
    <n v="8"/>
    <n v="0"/>
    <m/>
    <n v="16"/>
    <x v="1"/>
    <x v="3"/>
    <n v="0.99071207430340558"/>
    <n v="320"/>
    <n v="0"/>
    <n v="0"/>
    <n v="0.99071207430340558"/>
    <n v="320"/>
    <n v="0"/>
    <n v="1"/>
    <n v="323"/>
    <n v="0.14999999999999858"/>
    <n v="2"/>
    <s v="Separate, clearly perceived"/>
    <n v="0.61919504643962853"/>
    <n v="200"/>
    <n v="1.0699999999999998"/>
    <n v="0.62"/>
    <n v="200.26"/>
    <n v="2"/>
    <n v="0.61919504643962853"/>
    <n v="1.0699999999999998"/>
    <n v="0.62"/>
    <m/>
    <d v="2015-12-03T00:00:00"/>
    <s v="Blanket Consumable only"/>
    <n v="0"/>
    <d v="2016-12-02T00:00:00"/>
    <n v="68"/>
    <n v="10"/>
    <n v="0"/>
    <n v="1"/>
    <n v="323"/>
    <n v="0"/>
    <m/>
    <n v="1"/>
    <n v="323"/>
    <n v="4"/>
    <s v="Excellent coverage"/>
    <n v="0"/>
    <x v="2"/>
    <m/>
  </r>
  <r>
    <x v="1"/>
    <s v="MMR001CMP225"/>
    <x v="1"/>
    <x v="17"/>
    <n v="98.356405555555497"/>
    <n v="25.645869444444401"/>
    <x v="0"/>
    <x v="0"/>
    <x v="1"/>
    <x v="0"/>
    <n v="30"/>
    <n v="181"/>
    <n v="165"/>
    <n v="165"/>
    <x v="1"/>
    <s v="DFID"/>
    <s v="KMSS"/>
    <x v="3"/>
    <x v="0"/>
    <d v="2016-12-31T00:00:00"/>
    <s v="Focal NGO"/>
    <x v="0"/>
    <n v="0"/>
    <n v="0"/>
    <s v="No"/>
    <s v="No"/>
    <n v="0"/>
    <n v="0"/>
    <n v="3200"/>
    <n v="0"/>
    <n v="1"/>
    <m/>
    <n v="1"/>
    <n v="165"/>
    <n v="1"/>
    <n v="165"/>
    <n v="1"/>
    <n v="165"/>
    <x v="0"/>
    <n v="0"/>
    <n v="0"/>
    <n v="0.41249999999999998"/>
    <n v="30"/>
    <n v="0"/>
    <n v="1"/>
    <n v="165"/>
    <m/>
    <n v="10"/>
    <n v="4"/>
    <m/>
    <n v="0"/>
    <x v="0"/>
    <x v="3"/>
    <n v="0.48484848484848486"/>
    <n v="80"/>
    <n v="0.48484848484848486"/>
    <n v="80"/>
    <n v="0"/>
    <n v="0"/>
    <n v="0"/>
    <n v="0.48"/>
    <n v="79.2"/>
    <n v="8.25"/>
    <n v="0"/>
    <s v="Not separated yet"/>
    <n v="0"/>
    <n v="0"/>
    <n v="1.81"/>
    <n v="0"/>
    <n v="0"/>
    <n v="0"/>
    <n v="0"/>
    <n v="1.81"/>
    <n v="0"/>
    <m/>
    <d v="2015-12-03T00:00:00"/>
    <s v="Blanket Consumable only"/>
    <n v="0"/>
    <d v="2016-12-02T00:00:00"/>
    <n v="30"/>
    <n v="10"/>
    <n v="0"/>
    <n v="1"/>
    <n v="165"/>
    <n v="0"/>
    <m/>
    <n v="1"/>
    <n v="165"/>
    <n v="4"/>
    <s v="Excellent coverage"/>
    <n v="0"/>
    <x v="2"/>
    <m/>
  </r>
  <r>
    <x v="2"/>
    <s v="MMR001CMP179"/>
    <x v="2"/>
    <x v="18"/>
    <n v="96.355270000000004"/>
    <n v="25.656130000000001"/>
    <x v="0"/>
    <x v="0"/>
    <x v="1"/>
    <x v="0"/>
    <n v="77"/>
    <n v="357"/>
    <n v="350"/>
    <n v="380"/>
    <x v="0"/>
    <s v="UNICEF"/>
    <s v="Shalom"/>
    <x v="4"/>
    <x v="0"/>
    <d v="2016-03-27T00:00:00"/>
    <s v="Focal NGO"/>
    <x v="0"/>
    <n v="0"/>
    <n v="0"/>
    <s v="Yes"/>
    <s v="No"/>
    <n v="3"/>
    <n v="0"/>
    <n v="6000"/>
    <n v="0"/>
    <n v="0"/>
    <m/>
    <n v="1"/>
    <n v="380"/>
    <n v="1"/>
    <n v="380"/>
    <n v="1"/>
    <n v="380"/>
    <x v="0"/>
    <n v="0"/>
    <n v="0"/>
    <n v="0"/>
    <n v="0"/>
    <n v="0"/>
    <n v="1"/>
    <n v="380"/>
    <m/>
    <n v="6"/>
    <n v="0"/>
    <m/>
    <n v="5"/>
    <x v="3"/>
    <x v="1"/>
    <n v="0.26315789473684209"/>
    <n v="100"/>
    <n v="0"/>
    <n v="0"/>
    <n v="0.26315789473684209"/>
    <n v="100"/>
    <n v="0"/>
    <n v="0.27"/>
    <n v="102.60000000000001"/>
    <n v="14"/>
    <n v="1"/>
    <s v="Separate, but not clearly perceived"/>
    <n v="0.26315789473684209"/>
    <n v="100"/>
    <n v="2.57"/>
    <n v="0.53"/>
    <n v="201.4"/>
    <n v="1"/>
    <n v="0.26315789473684209"/>
    <n v="2.57"/>
    <n v="1"/>
    <m/>
    <d v="2014-02-25T00:00:00"/>
    <s v="Targetted Consumable only"/>
    <n v="0.3"/>
    <s v="To be realised"/>
    <n v="7"/>
    <n v="2"/>
    <n v="77"/>
    <n v="0"/>
    <n v="0"/>
    <n v="21"/>
    <m/>
    <n v="0"/>
    <n v="0"/>
    <n v="2"/>
    <s v="Excellent coverage"/>
    <n v="0"/>
    <x v="0"/>
    <s v="Shalom is implementing pilot WASH committee capacity strengthen activities mainly in this Hpakant area"/>
  </r>
  <r>
    <x v="2"/>
    <s v="MMR001CMP168"/>
    <x v="2"/>
    <x v="19"/>
    <n v="96.353070000000002"/>
    <n v="25.655819999999999"/>
    <x v="0"/>
    <x v="0"/>
    <x v="1"/>
    <x v="0"/>
    <n v="75"/>
    <n v="404"/>
    <n v="425"/>
    <n v="425"/>
    <x v="0"/>
    <s v="DFID"/>
    <s v="KMSS"/>
    <x v="3"/>
    <x v="0"/>
    <d v="2016-12-31T00:00:00"/>
    <s v="Focal NGO"/>
    <x v="0"/>
    <n v="0"/>
    <n v="0"/>
    <s v="No"/>
    <s v="No"/>
    <n v="2"/>
    <n v="0"/>
    <n v="3000"/>
    <n v="0"/>
    <n v="1"/>
    <m/>
    <n v="1"/>
    <n v="425"/>
    <n v="1"/>
    <n v="425"/>
    <n v="1"/>
    <n v="425"/>
    <x v="0"/>
    <n v="0"/>
    <n v="0"/>
    <n v="0"/>
    <n v="75"/>
    <n v="0"/>
    <n v="1"/>
    <n v="425"/>
    <m/>
    <n v="0"/>
    <n v="0"/>
    <m/>
    <n v="10"/>
    <x v="0"/>
    <x v="3"/>
    <n v="0.47058823529411764"/>
    <n v="200"/>
    <n v="0"/>
    <n v="0"/>
    <n v="0.47058823529411764"/>
    <n v="200"/>
    <n v="0"/>
    <n v="0.66"/>
    <n v="280.5"/>
    <n v="11.25"/>
    <n v="2"/>
    <s v="Not separated yet"/>
    <n v="0.47058823529411764"/>
    <n v="200"/>
    <n v="2.04"/>
    <n v="0.48"/>
    <n v="204"/>
    <n v="2"/>
    <n v="0.47058823529411764"/>
    <n v="2.04"/>
    <n v="0.48"/>
    <m/>
    <d v="2014-06-27T00:00:00"/>
    <s v="Blanket Consumable only"/>
    <n v="0"/>
    <s v="To be realised"/>
    <n v="83"/>
    <n v="2"/>
    <n v="75"/>
    <n v="0"/>
    <n v="0"/>
    <n v="17"/>
    <m/>
    <n v="1"/>
    <n v="425"/>
    <n v="4"/>
    <s v="Excellent coverage"/>
    <n v="0"/>
    <x v="0"/>
    <m/>
  </r>
  <r>
    <x v="2"/>
    <s v="MMR001CMP176"/>
    <x v="2"/>
    <x v="20"/>
    <n v="96.345569999999995"/>
    <n v="25.635300000000001"/>
    <x v="0"/>
    <x v="0"/>
    <x v="1"/>
    <x v="0"/>
    <n v="67"/>
    <n v="338"/>
    <n v="351"/>
    <n v="351"/>
    <x v="0"/>
    <s v="UNICEF"/>
    <s v="Shalom"/>
    <x v="4"/>
    <x v="0"/>
    <d v="2016-03-27T00:00:00"/>
    <s v="Focal NGO"/>
    <x v="0"/>
    <n v="0"/>
    <n v="0"/>
    <s v="Yes"/>
    <s v="No"/>
    <n v="2"/>
    <n v="0"/>
    <n v="0"/>
    <n v="0"/>
    <n v="0"/>
    <m/>
    <n v="1"/>
    <n v="351"/>
    <n v="1"/>
    <n v="351"/>
    <n v="1"/>
    <n v="351"/>
    <x v="0"/>
    <n v="0"/>
    <n v="0"/>
    <n v="0"/>
    <n v="0"/>
    <n v="0"/>
    <n v="1"/>
    <n v="351"/>
    <m/>
    <n v="10"/>
    <n v="0"/>
    <m/>
    <n v="15"/>
    <x v="1"/>
    <x v="1"/>
    <n v="0.85470085470085466"/>
    <n v="300"/>
    <n v="0"/>
    <n v="0"/>
    <n v="0.85470085470085466"/>
    <n v="300"/>
    <n v="0"/>
    <n v="1"/>
    <n v="351"/>
    <n v="2.5500000000000007"/>
    <n v="1"/>
    <s v="Separate, clearly perceived"/>
    <n v="0.28490028490028491"/>
    <n v="100"/>
    <n v="2.38"/>
    <n v="0.59"/>
    <n v="207.08999999999997"/>
    <n v="3"/>
    <n v="0.85470085470085466"/>
    <n v="0.37999999999999989"/>
    <n v="1"/>
    <m/>
    <d v="2014-02-25T00:00:00"/>
    <s v="Blanket Consumable only"/>
    <n v="0.3"/>
    <s v="To be realised"/>
    <n v="6"/>
    <n v="2"/>
    <n v="67"/>
    <n v="0"/>
    <n v="0"/>
    <n v="21"/>
    <m/>
    <n v="0"/>
    <n v="0"/>
    <m/>
    <s v="No coverage"/>
    <n v="0"/>
    <x v="0"/>
    <s v="Shalom is implementing pilot WASH committee capacity strengthen activities mainly in this Hpakant area"/>
  </r>
  <r>
    <x v="2"/>
    <s v="MMR001CMP190"/>
    <x v="2"/>
    <x v="21"/>
    <n v="96.317350000000005"/>
    <n v="25.616509000000001"/>
    <x v="0"/>
    <x v="0"/>
    <x v="0"/>
    <x v="0"/>
    <n v="15"/>
    <n v="82"/>
    <n v="83"/>
    <n v="83"/>
    <x v="1"/>
    <s v="UNICEF"/>
    <s v="Shalom"/>
    <x v="4"/>
    <x v="0"/>
    <d v="2016-03-27T00:00:00"/>
    <s v="Focal NGO"/>
    <x v="0"/>
    <n v="0"/>
    <n v="0"/>
    <s v="No"/>
    <s v="No"/>
    <n v="1"/>
    <n v="0"/>
    <n v="0"/>
    <n v="0"/>
    <n v="0"/>
    <m/>
    <n v="1"/>
    <n v="83"/>
    <n v="1"/>
    <n v="83"/>
    <n v="1"/>
    <n v="83"/>
    <x v="0"/>
    <n v="0"/>
    <n v="0"/>
    <n v="0"/>
    <n v="0"/>
    <n v="0"/>
    <n v="1"/>
    <n v="83"/>
    <m/>
    <n v="4"/>
    <n v="0"/>
    <m/>
    <n v="6"/>
    <x v="1"/>
    <x v="1"/>
    <n v="1"/>
    <n v="83"/>
    <n v="0"/>
    <n v="0"/>
    <n v="1"/>
    <n v="83"/>
    <n v="0"/>
    <n v="1"/>
    <n v="83"/>
    <n v="0"/>
    <n v="1"/>
    <s v="Separate, but not clearly perceived"/>
    <n v="1"/>
    <n v="83"/>
    <n v="0"/>
    <n v="1"/>
    <n v="83"/>
    <n v="2"/>
    <n v="1"/>
    <n v="0"/>
    <n v="1"/>
    <m/>
    <d v="2014-02-25T00:00:00"/>
    <s v="Targetted Consumable only"/>
    <n v="0.3"/>
    <s v="To be realised"/>
    <n v="6"/>
    <n v="2"/>
    <n v="15"/>
    <n v="0"/>
    <n v="0"/>
    <n v="21"/>
    <m/>
    <n v="0"/>
    <n v="0"/>
    <m/>
    <s v="No coverage"/>
    <n v="0"/>
    <x v="0"/>
    <s v="Shalom is implementing pilot WASH committee capacity strengthen activities mainly in this Hpakant area"/>
  </r>
  <r>
    <x v="2"/>
    <s v="MMR001CMP169"/>
    <x v="2"/>
    <x v="22"/>
    <n v="96.346469999999997"/>
    <n v="25.647649999999999"/>
    <x v="0"/>
    <x v="0"/>
    <x v="1"/>
    <x v="0"/>
    <n v="38"/>
    <n v="211"/>
    <n v="213"/>
    <n v="218"/>
    <x v="1"/>
    <s v="UNICEF"/>
    <s v="Shalom"/>
    <x v="4"/>
    <x v="0"/>
    <d v="2016-03-27T00:00:00"/>
    <s v="Focal NGO"/>
    <x v="0"/>
    <n v="0"/>
    <n v="0"/>
    <s v="No"/>
    <s v="No"/>
    <n v="2"/>
    <n v="0"/>
    <n v="0"/>
    <n v="0"/>
    <n v="0"/>
    <m/>
    <n v="1"/>
    <n v="218"/>
    <n v="1"/>
    <n v="218"/>
    <n v="1"/>
    <n v="218"/>
    <x v="0"/>
    <n v="0"/>
    <n v="0"/>
    <n v="0"/>
    <n v="0"/>
    <n v="0"/>
    <n v="1"/>
    <n v="218"/>
    <m/>
    <n v="2"/>
    <n v="0"/>
    <m/>
    <n v="10"/>
    <x v="3"/>
    <x v="3"/>
    <n v="0.91743119266055051"/>
    <n v="200"/>
    <n v="0"/>
    <n v="0"/>
    <n v="0.91743119266055051"/>
    <n v="200"/>
    <n v="0"/>
    <n v="1"/>
    <n v="218"/>
    <n v="0.90000000000000036"/>
    <n v="3"/>
    <s v="Separate, clearly perceived"/>
    <n v="1"/>
    <n v="218"/>
    <n v="0"/>
    <n v="1"/>
    <n v="218"/>
    <n v="2"/>
    <n v="0.91743119266055051"/>
    <n v="0.10999999999999988"/>
    <n v="1"/>
    <m/>
    <d v="2014-02-25T00:00:00"/>
    <s v="Targetted Consumable only"/>
    <n v="0.3"/>
    <s v="To be realised"/>
    <n v="8"/>
    <n v="2"/>
    <n v="38"/>
    <n v="0"/>
    <n v="0"/>
    <n v="21"/>
    <m/>
    <n v="0"/>
    <n v="0"/>
    <m/>
    <s v="No coverage"/>
    <n v="0"/>
    <x v="0"/>
    <s v="Shalom is implementing pilot WASH committee capacity strengthen activities mainly in this Hpakant area"/>
  </r>
  <r>
    <x v="2"/>
    <s v="MMR001CMP188"/>
    <x v="2"/>
    <x v="23"/>
    <n v="96.673805000000002"/>
    <n v="25.728653000000001"/>
    <x v="0"/>
    <x v="0"/>
    <x v="2"/>
    <x v="3"/>
    <n v="15"/>
    <n v="78"/>
    <n v="77"/>
    <n v="77"/>
    <x v="1"/>
    <m/>
    <s v="Shalom"/>
    <x v="2"/>
    <x v="1"/>
    <s v="Gap"/>
    <s v="Not documented"/>
    <x v="1"/>
    <n v="0"/>
    <n v="0"/>
    <s v="No"/>
    <s v="No"/>
    <n v="1"/>
    <n v="1"/>
    <n v="0"/>
    <n v="0"/>
    <n v="0"/>
    <m/>
    <n v="1"/>
    <n v="77"/>
    <n v="1"/>
    <n v="77"/>
    <n v="1"/>
    <n v="77"/>
    <x v="0"/>
    <n v="0"/>
    <n v="0"/>
    <n v="0"/>
    <n v="0"/>
    <n v="0"/>
    <n v="1"/>
    <n v="77"/>
    <m/>
    <n v="0"/>
    <n v="2"/>
    <m/>
    <n v="2"/>
    <x v="2"/>
    <x v="0"/>
    <n v="1"/>
    <n v="77"/>
    <n v="0.48051948051948057"/>
    <n v="37.000000000000007"/>
    <n v="0.51948051948051943"/>
    <n v="39.999999999999993"/>
    <n v="0"/>
    <n v="1"/>
    <n v="77"/>
    <n v="1.85"/>
    <n v="2"/>
    <s v="Separate, clearly perceived"/>
    <n v="1"/>
    <n v="77"/>
    <n v="0"/>
    <n v="1"/>
    <n v="77"/>
    <n v="3"/>
    <n v="1"/>
    <n v="0"/>
    <n v="1"/>
    <m/>
    <d v="2015-02-14T00:00:00"/>
    <s v="Blanket Consumable only"/>
    <n v="0.3"/>
    <s v="To be realised"/>
    <m/>
    <m/>
    <n v="15"/>
    <n v="0"/>
    <n v="0"/>
    <n v="12"/>
    <m/>
    <n v="0"/>
    <n v="0"/>
    <m/>
    <s v="No coverage"/>
    <n v="0"/>
    <x v="0"/>
    <s v="Shalom is implementing pilot WASH committee capacity strengthen activities mainly in this Hpakant area"/>
  </r>
  <r>
    <x v="2"/>
    <s v="MMR001CMP109"/>
    <x v="2"/>
    <x v="24"/>
    <n v="96.283377000000002"/>
    <n v="25.582065"/>
    <x v="0"/>
    <x v="0"/>
    <x v="1"/>
    <x v="0"/>
    <n v="5"/>
    <n v="26"/>
    <n v="27"/>
    <n v="30"/>
    <x v="1"/>
    <s v="UNICEF"/>
    <s v="Shalom"/>
    <x v="4"/>
    <x v="0"/>
    <d v="2016-03-27T00:00:00"/>
    <s v="Focal NGO"/>
    <x v="0"/>
    <n v="0"/>
    <n v="0"/>
    <s v="Yes"/>
    <s v="No"/>
    <n v="0"/>
    <n v="0"/>
    <n v="2000"/>
    <n v="0"/>
    <n v="0"/>
    <m/>
    <n v="1"/>
    <n v="30"/>
    <n v="1"/>
    <n v="30"/>
    <n v="1"/>
    <n v="30"/>
    <x v="0"/>
    <n v="0"/>
    <n v="0"/>
    <n v="7.4999999999999997E-2"/>
    <n v="0"/>
    <n v="0"/>
    <n v="1"/>
    <n v="30"/>
    <m/>
    <n v="10"/>
    <n v="0"/>
    <m/>
    <n v="2"/>
    <x v="1"/>
    <x v="1"/>
    <n v="1"/>
    <n v="30"/>
    <n v="0"/>
    <n v="0"/>
    <n v="1"/>
    <n v="30"/>
    <n v="0"/>
    <n v="1"/>
    <n v="30"/>
    <n v="0"/>
    <n v="1"/>
    <s v="Not separated yet"/>
    <n v="1"/>
    <n v="30"/>
    <n v="0"/>
    <n v="1"/>
    <n v="30"/>
    <n v="1"/>
    <n v="1"/>
    <n v="0"/>
    <n v="1"/>
    <m/>
    <d v="2014-02-25T00:00:00"/>
    <s v="Targetted Consumable only"/>
    <n v="0.3"/>
    <s v="To be realised"/>
    <n v="6"/>
    <n v="2"/>
    <n v="5"/>
    <n v="0"/>
    <n v="0"/>
    <n v="21"/>
    <m/>
    <n v="0"/>
    <n v="0"/>
    <m/>
    <s v="No coverage"/>
    <n v="0"/>
    <x v="0"/>
    <s v="Shalom is implementing pilot WASH committee capacity strengthen activities mainly in this Hpakant area"/>
  </r>
  <r>
    <x v="2"/>
    <s v="MMR001CMP174"/>
    <x v="2"/>
    <x v="25"/>
    <n v="96.354929999999996"/>
    <n v="25.643090000000001"/>
    <x v="0"/>
    <x v="0"/>
    <x v="1"/>
    <x v="0"/>
    <n v="65"/>
    <n v="329"/>
    <n v="352"/>
    <n v="352"/>
    <x v="0"/>
    <s v="UNICEF"/>
    <s v="Shalom"/>
    <x v="4"/>
    <x v="0"/>
    <d v="2016-03-27T00:00:00"/>
    <s v="Focal NGO"/>
    <x v="0"/>
    <n v="0"/>
    <n v="0"/>
    <s v="Yes"/>
    <s v="No"/>
    <n v="1"/>
    <n v="0"/>
    <n v="3000"/>
    <n v="0"/>
    <n v="0"/>
    <m/>
    <n v="1"/>
    <n v="352"/>
    <n v="1"/>
    <n v="352"/>
    <n v="1"/>
    <n v="352"/>
    <x v="0"/>
    <n v="0"/>
    <n v="0"/>
    <n v="0"/>
    <n v="0"/>
    <n v="0"/>
    <n v="1"/>
    <n v="352"/>
    <m/>
    <n v="3"/>
    <n v="0"/>
    <m/>
    <n v="18"/>
    <x v="1"/>
    <x v="0"/>
    <n v="1"/>
    <n v="352"/>
    <n v="0"/>
    <n v="0"/>
    <n v="1"/>
    <n v="352"/>
    <n v="0"/>
    <n v="1"/>
    <n v="352"/>
    <n v="0"/>
    <n v="3"/>
    <s v="Separate, clearly perceived"/>
    <n v="0.85227272727272729"/>
    <n v="300"/>
    <n v="0.29000000000000004"/>
    <n v="1"/>
    <n v="352"/>
    <n v="4"/>
    <n v="1"/>
    <n v="0"/>
    <n v="1"/>
    <m/>
    <d v="2014-02-25T00:00:00"/>
    <s v="Targetted Consumable only"/>
    <n v="0.3"/>
    <s v="To be realised"/>
    <n v="6"/>
    <n v="2"/>
    <n v="65"/>
    <n v="0"/>
    <n v="0"/>
    <n v="21"/>
    <m/>
    <n v="0"/>
    <n v="0"/>
    <m/>
    <s v="No coverage"/>
    <n v="0"/>
    <x v="0"/>
    <s v="Shalom is implementing pilot WASH committee capacity strengthen activities mainly in this Hpakant area"/>
  </r>
  <r>
    <x v="2"/>
    <s v="MMR001CMP148"/>
    <x v="2"/>
    <x v="26"/>
    <n v="96.705960000000005"/>
    <n v="25.51352"/>
    <x v="0"/>
    <x v="0"/>
    <x v="2"/>
    <x v="0"/>
    <n v="20"/>
    <n v="64"/>
    <n v="64"/>
    <n v="64"/>
    <x v="1"/>
    <s v="CIDA"/>
    <s v="KBC"/>
    <x v="2"/>
    <x v="1"/>
    <s v="Gap"/>
    <s v="Not documented"/>
    <x v="1"/>
    <n v="0"/>
    <n v="0"/>
    <s v="No"/>
    <s v="No"/>
    <n v="0"/>
    <n v="2"/>
    <n v="0"/>
    <n v="0"/>
    <n v="1"/>
    <s v="Ceramic Water filter"/>
    <n v="1"/>
    <n v="64"/>
    <n v="1"/>
    <n v="64"/>
    <n v="1"/>
    <n v="64"/>
    <x v="0"/>
    <n v="0"/>
    <n v="0"/>
    <n v="0"/>
    <n v="20"/>
    <n v="0"/>
    <n v="1"/>
    <n v="64"/>
    <m/>
    <n v="0"/>
    <n v="3"/>
    <m/>
    <n v="7"/>
    <x v="2"/>
    <x v="0"/>
    <n v="1"/>
    <n v="64"/>
    <n v="0"/>
    <n v="0"/>
    <n v="1"/>
    <n v="64"/>
    <n v="0"/>
    <n v="1"/>
    <n v="64"/>
    <n v="0"/>
    <n v="2"/>
    <s v="Separate, clearly perceived"/>
    <n v="1"/>
    <n v="64"/>
    <n v="0"/>
    <n v="1"/>
    <n v="64"/>
    <n v="0"/>
    <n v="0"/>
    <n v="0.64"/>
    <n v="0"/>
    <s v="old 2 Hand washing were already out of used."/>
    <d v="2015-06-18T00:00:00"/>
    <s v="Blanket Consumable only"/>
    <m/>
    <d v="2016-06-17T00:00:00"/>
    <n v="16"/>
    <n v="0"/>
    <n v="4"/>
    <n v="0.8"/>
    <n v="51.2"/>
    <n v="8"/>
    <m/>
    <n v="0"/>
    <n v="0"/>
    <n v="2"/>
    <s v="Excellent coverage"/>
    <n v="0"/>
    <x v="2"/>
    <m/>
  </r>
  <r>
    <x v="2"/>
    <s v="MMR001CMP191"/>
    <x v="2"/>
    <x v="27"/>
    <n v="96.316564"/>
    <n v="25.615960999999999"/>
    <x v="0"/>
    <x v="0"/>
    <x v="0"/>
    <x v="0"/>
    <n v="10"/>
    <n v="57"/>
    <n v="30"/>
    <n v="46"/>
    <x v="1"/>
    <s v="UNICEF"/>
    <s v="Shalom"/>
    <x v="4"/>
    <x v="0"/>
    <d v="2016-03-27T00:00:00"/>
    <s v="Focal NGO"/>
    <x v="0"/>
    <n v="0"/>
    <n v="0"/>
    <s v="No"/>
    <s v="No"/>
    <n v="1"/>
    <n v="0"/>
    <n v="0"/>
    <n v="0"/>
    <n v="0"/>
    <m/>
    <n v="1"/>
    <n v="46"/>
    <n v="1"/>
    <n v="46"/>
    <n v="1"/>
    <n v="46"/>
    <x v="0"/>
    <n v="0"/>
    <n v="0"/>
    <n v="0"/>
    <n v="0"/>
    <n v="0"/>
    <n v="1"/>
    <n v="46"/>
    <m/>
    <n v="20"/>
    <n v="0"/>
    <m/>
    <n v="5"/>
    <x v="1"/>
    <x v="1"/>
    <n v="1"/>
    <n v="46"/>
    <n v="0"/>
    <n v="0"/>
    <n v="1"/>
    <n v="46"/>
    <n v="0"/>
    <n v="1"/>
    <n v="46"/>
    <n v="0"/>
    <n v="1"/>
    <s v="Separate, clearly perceived"/>
    <n v="1"/>
    <n v="46"/>
    <n v="0"/>
    <n v="1"/>
    <n v="46"/>
    <n v="1"/>
    <n v="1"/>
    <n v="0"/>
    <n v="1"/>
    <m/>
    <d v="2014-02-25T00:00:00"/>
    <s v="Targetted Consumable only"/>
    <n v="0.3"/>
    <s v="To be realised"/>
    <n v="6"/>
    <n v="2"/>
    <n v="10"/>
    <n v="0"/>
    <n v="0"/>
    <n v="21"/>
    <m/>
    <n v="0"/>
    <n v="0"/>
    <m/>
    <s v="No coverage"/>
    <n v="0"/>
    <x v="0"/>
    <s v="Shalom is implementing pilot WASH committee capacity strengthen activities mainly in this Hpakant area"/>
  </r>
  <r>
    <x v="2"/>
    <s v="MMR001CMP229"/>
    <x v="2"/>
    <x v="28"/>
    <n v="96.312790000000007"/>
    <n v="25.611160000000002"/>
    <x v="0"/>
    <x v="0"/>
    <x v="2"/>
    <x v="0"/>
    <n v="66"/>
    <n v="309"/>
    <n v="427"/>
    <n v="462"/>
    <x v="0"/>
    <s v="UNICEF"/>
    <s v="Shalom"/>
    <x v="4"/>
    <x v="0"/>
    <d v="2016-03-27T00:00:00"/>
    <s v="Focal NGO"/>
    <x v="0"/>
    <n v="0"/>
    <n v="0"/>
    <s v="Yes"/>
    <s v="No"/>
    <n v="0"/>
    <n v="0"/>
    <n v="3320"/>
    <n v="0"/>
    <n v="0"/>
    <m/>
    <n v="0.4790764790764791"/>
    <n v="221.33333333333334"/>
    <n v="0.4790764790764791"/>
    <n v="221.33333333333334"/>
    <n v="0.4790764790764791"/>
    <n v="221.33333333333334"/>
    <x v="2"/>
    <n v="0"/>
    <n v="0"/>
    <n v="1.155"/>
    <n v="0"/>
    <n v="0"/>
    <n v="1"/>
    <n v="462"/>
    <m/>
    <n v="2"/>
    <n v="0"/>
    <m/>
    <n v="26"/>
    <x v="1"/>
    <x v="3"/>
    <n v="1"/>
    <n v="462"/>
    <n v="0"/>
    <n v="0"/>
    <n v="1"/>
    <n v="462"/>
    <n v="0"/>
    <n v="1"/>
    <n v="462"/>
    <n v="0"/>
    <n v="5"/>
    <s v="Separate, but not clearly perceived"/>
    <n v="1"/>
    <n v="462"/>
    <n v="0"/>
    <n v="1"/>
    <n v="462"/>
    <n v="2"/>
    <n v="0.4329004329004329"/>
    <n v="1.0899999999999999"/>
    <n v="1"/>
    <m/>
    <d v="2014-02-25T00:00:00"/>
    <s v="Blanket Consumable only"/>
    <n v="0.3"/>
    <s v="To be realised"/>
    <n v="0"/>
    <n v="0"/>
    <n v="66"/>
    <n v="0"/>
    <n v="0"/>
    <n v="23"/>
    <m/>
    <n v="0"/>
    <n v="0"/>
    <m/>
    <s v="No coverage"/>
    <n v="0"/>
    <x v="0"/>
    <s v="Shalom is implementing pilot WASH committee capacity strengthen activities mainly in this Hpakant area"/>
  </r>
  <r>
    <x v="2"/>
    <s v="MMR001CMP231"/>
    <x v="2"/>
    <x v="29"/>
    <n v="96.341520000000003"/>
    <n v="25.655280000000001"/>
    <x v="0"/>
    <x v="0"/>
    <x v="2"/>
    <x v="0"/>
    <n v="25"/>
    <n v="129"/>
    <n v="203"/>
    <n v="233"/>
    <x v="1"/>
    <s v="UNICEF"/>
    <m/>
    <x v="4"/>
    <x v="0"/>
    <d v="2016-03-27T00:00:00"/>
    <s v="WASH cluster"/>
    <x v="0"/>
    <n v="0"/>
    <n v="0"/>
    <s v="Yes"/>
    <s v="No"/>
    <n v="1"/>
    <n v="1"/>
    <n v="12960"/>
    <n v="0"/>
    <n v="0"/>
    <m/>
    <n v="1"/>
    <n v="233"/>
    <n v="1"/>
    <n v="233"/>
    <n v="1"/>
    <n v="233"/>
    <x v="0"/>
    <n v="0"/>
    <n v="0"/>
    <n v="0"/>
    <n v="0"/>
    <n v="0"/>
    <n v="1"/>
    <n v="233"/>
    <m/>
    <n v="0"/>
    <n v="0"/>
    <m/>
    <n v="4"/>
    <x v="1"/>
    <x v="1"/>
    <n v="0.34334763948497854"/>
    <n v="80"/>
    <n v="0"/>
    <n v="0"/>
    <n v="0.34334763948497854"/>
    <n v="80"/>
    <n v="0"/>
    <n v="1"/>
    <n v="233"/>
    <n v="7.65"/>
    <n v="1"/>
    <s v="Not separated yet"/>
    <n v="0.42918454935622319"/>
    <n v="100"/>
    <n v="0.29000000000000004"/>
    <n v="0.86"/>
    <n v="200.38"/>
    <n v="0"/>
    <n v="0"/>
    <n v="1.29"/>
    <n v="0"/>
    <m/>
    <m/>
    <s v="Targetted Consumable only"/>
    <n v="0.3"/>
    <s v="To be realised"/>
    <n v="0"/>
    <n v="0"/>
    <n v="25"/>
    <n v="0"/>
    <n v="0"/>
    <s v="Column BN to be completed"/>
    <m/>
    <n v="0"/>
    <n v="0"/>
    <m/>
    <s v="No coverage"/>
    <n v="0"/>
    <x v="0"/>
    <s v="Shalom is implementing pilot WASH committee capacity strengthen activities mainly in this Hpakant area"/>
  </r>
  <r>
    <x v="2"/>
    <s v="MMR001CMP181"/>
    <x v="2"/>
    <x v="30"/>
    <n v="96.269199999999998"/>
    <n v="25.566510000000001"/>
    <x v="0"/>
    <x v="0"/>
    <x v="1"/>
    <x v="0"/>
    <n v="25"/>
    <n v="137"/>
    <n v="95"/>
    <n v="117"/>
    <x v="1"/>
    <s v="UNICEF"/>
    <s v="Shalom"/>
    <x v="4"/>
    <x v="0"/>
    <d v="2016-03-27T00:00:00"/>
    <s v="Focal NGO"/>
    <x v="0"/>
    <n v="0"/>
    <n v="0"/>
    <s v="Yes"/>
    <s v="No"/>
    <n v="0"/>
    <n v="0"/>
    <n v="3000"/>
    <n v="0"/>
    <n v="0"/>
    <m/>
    <n v="1"/>
    <n v="117"/>
    <n v="1"/>
    <n v="117"/>
    <n v="1"/>
    <n v="117"/>
    <x v="0"/>
    <n v="0"/>
    <n v="0"/>
    <n v="0.29249999999999998"/>
    <n v="0"/>
    <n v="0"/>
    <n v="1"/>
    <n v="117"/>
    <m/>
    <n v="2"/>
    <n v="0"/>
    <m/>
    <n v="8"/>
    <x v="1"/>
    <x v="1"/>
    <n v="1"/>
    <n v="117"/>
    <n v="0"/>
    <n v="0"/>
    <n v="1"/>
    <n v="117"/>
    <n v="0"/>
    <n v="1"/>
    <n v="117"/>
    <n v="0"/>
    <n v="1"/>
    <s v="Separate, but not clearly perceived"/>
    <n v="0.85470085470085466"/>
    <n v="100"/>
    <n v="0.37000000000000011"/>
    <n v="1"/>
    <n v="117"/>
    <n v="2"/>
    <n v="1"/>
    <n v="0"/>
    <n v="1"/>
    <m/>
    <d v="2014-02-25T00:00:00"/>
    <s v="Targetted Consumable only"/>
    <n v="0.3"/>
    <s v="To be realised"/>
    <n v="6"/>
    <n v="2"/>
    <n v="25"/>
    <n v="0"/>
    <n v="0"/>
    <n v="21"/>
    <m/>
    <n v="0"/>
    <n v="0"/>
    <m/>
    <s v="No coverage"/>
    <n v="0"/>
    <x v="0"/>
    <s v="Shalom is implementing pilot WASH committee capacity strengthen activities mainly in this Hpakant area"/>
  </r>
  <r>
    <x v="2"/>
    <s v="MMR001CMP167"/>
    <x v="2"/>
    <x v="31"/>
    <n v="96.316400000000002"/>
    <n v="25.61842"/>
    <x v="0"/>
    <x v="0"/>
    <x v="0"/>
    <x v="0"/>
    <n v="15"/>
    <n v="72"/>
    <n v="51"/>
    <n v="69"/>
    <x v="1"/>
    <s v="UNICEF"/>
    <s v="Shalom"/>
    <x v="4"/>
    <x v="0"/>
    <d v="2016-03-27T00:00:00"/>
    <s v="Focal NGO"/>
    <x v="0"/>
    <n v="0"/>
    <n v="0"/>
    <s v="No"/>
    <s v="No"/>
    <n v="1"/>
    <n v="0"/>
    <n v="2000"/>
    <n v="0"/>
    <n v="0"/>
    <m/>
    <n v="1"/>
    <n v="69"/>
    <n v="1"/>
    <n v="69"/>
    <n v="1"/>
    <n v="69"/>
    <x v="0"/>
    <n v="0"/>
    <n v="0"/>
    <n v="0"/>
    <n v="0"/>
    <n v="0"/>
    <n v="1"/>
    <n v="69"/>
    <m/>
    <n v="2"/>
    <n v="0"/>
    <m/>
    <n v="4"/>
    <x v="1"/>
    <x v="1"/>
    <n v="1"/>
    <n v="69"/>
    <n v="0"/>
    <n v="0"/>
    <n v="1"/>
    <n v="69"/>
    <n v="0"/>
    <n v="1"/>
    <n v="69"/>
    <n v="0"/>
    <n v="1"/>
    <s v="Not separated yet"/>
    <n v="1"/>
    <n v="69"/>
    <n v="0"/>
    <n v="1"/>
    <n v="69"/>
    <n v="2"/>
    <n v="1"/>
    <n v="0"/>
    <n v="1"/>
    <m/>
    <d v="2014-02-25T00:00:00"/>
    <s v="Targetted Consumable only"/>
    <n v="0.3"/>
    <s v="To be realised"/>
    <n v="6"/>
    <n v="2"/>
    <n v="15"/>
    <n v="0"/>
    <n v="0"/>
    <n v="21"/>
    <m/>
    <n v="0"/>
    <n v="0"/>
    <m/>
    <s v="No coverage"/>
    <n v="0"/>
    <x v="0"/>
    <s v="Shalom is implementing pilot WASH committee capacity strengthen activities mainly in this Hpakant area"/>
  </r>
  <r>
    <x v="2"/>
    <s v="MMR001CMP091"/>
    <x v="2"/>
    <x v="32"/>
    <n v="96.319687999999999"/>
    <n v="25.615202"/>
    <x v="0"/>
    <x v="0"/>
    <x v="0"/>
    <x v="0"/>
    <n v="5"/>
    <n v="23"/>
    <n v="27"/>
    <n v="27"/>
    <x v="1"/>
    <s v="UNICEF"/>
    <s v="Shalom"/>
    <x v="4"/>
    <x v="0"/>
    <d v="2016-03-27T00:00:00"/>
    <s v="Focal NGO"/>
    <x v="0"/>
    <n v="0"/>
    <n v="0"/>
    <s v="Yes"/>
    <s v="No"/>
    <n v="1"/>
    <n v="0"/>
    <n v="6000"/>
    <n v="0"/>
    <n v="0"/>
    <m/>
    <n v="1"/>
    <n v="27"/>
    <n v="1"/>
    <n v="27"/>
    <n v="1"/>
    <n v="27"/>
    <x v="0"/>
    <n v="0"/>
    <n v="0"/>
    <n v="0"/>
    <n v="0"/>
    <n v="0"/>
    <n v="1"/>
    <n v="27"/>
    <m/>
    <n v="5"/>
    <n v="0"/>
    <m/>
    <n v="4"/>
    <x v="1"/>
    <x v="2"/>
    <n v="1"/>
    <n v="27"/>
    <n v="0"/>
    <n v="0"/>
    <n v="1"/>
    <n v="27"/>
    <n v="0"/>
    <n v="1"/>
    <n v="27"/>
    <n v="0"/>
    <n v="2"/>
    <s v="Separate, clearly perceived"/>
    <n v="1"/>
    <n v="27"/>
    <n v="0"/>
    <n v="1"/>
    <n v="27"/>
    <n v="1"/>
    <n v="1"/>
    <n v="0"/>
    <n v="1"/>
    <m/>
    <d v="2014-02-25T00:00:00"/>
    <s v="Targetted Consumable only"/>
    <n v="0.3"/>
    <s v="To be realised"/>
    <n v="5"/>
    <n v="2"/>
    <n v="5"/>
    <n v="0"/>
    <n v="0"/>
    <n v="21"/>
    <m/>
    <n v="0"/>
    <n v="0"/>
    <m/>
    <s v="No coverage"/>
    <n v="0"/>
    <x v="0"/>
    <s v="Shalom is implementing pilot WASH committee capacity strengthen activities mainly in this Hpakant area"/>
  </r>
  <r>
    <x v="2"/>
    <s v="MMR001CMP192"/>
    <x v="2"/>
    <x v="33"/>
    <n v="96.339590000000001"/>
    <n v="25.617998"/>
    <x v="0"/>
    <x v="0"/>
    <x v="2"/>
    <x v="0"/>
    <n v="17"/>
    <n v="64"/>
    <n v="45"/>
    <n v="45"/>
    <x v="1"/>
    <s v="UNICEF"/>
    <s v="Shalom"/>
    <x v="4"/>
    <x v="0"/>
    <d v="2016-03-27T00:00:00"/>
    <s v="Focal NGO"/>
    <x v="0"/>
    <n v="0"/>
    <n v="0"/>
    <s v="No"/>
    <s v="No"/>
    <n v="0"/>
    <n v="0"/>
    <n v="2000"/>
    <n v="0"/>
    <n v="0"/>
    <m/>
    <n v="1"/>
    <n v="45"/>
    <n v="1"/>
    <n v="45"/>
    <n v="1"/>
    <n v="45"/>
    <x v="0"/>
    <n v="0"/>
    <n v="0"/>
    <n v="0.1125"/>
    <n v="0"/>
    <n v="0"/>
    <n v="1"/>
    <n v="45"/>
    <m/>
    <n v="1"/>
    <n v="0"/>
    <m/>
    <n v="4"/>
    <x v="1"/>
    <x v="3"/>
    <n v="1"/>
    <n v="45"/>
    <n v="0"/>
    <n v="0"/>
    <n v="1"/>
    <n v="45"/>
    <n v="0"/>
    <n v="1"/>
    <n v="45"/>
    <n v="0"/>
    <n v="2"/>
    <s v="Separate, clearly perceived"/>
    <n v="1"/>
    <n v="45"/>
    <n v="0"/>
    <n v="1"/>
    <n v="45"/>
    <n v="1"/>
    <n v="1"/>
    <n v="0"/>
    <n v="1"/>
    <m/>
    <d v="2014-02-25T00:00:00"/>
    <s v="Targetted Consumable only"/>
    <n v="0.3"/>
    <s v="To be realised"/>
    <n v="6"/>
    <n v="2"/>
    <n v="17"/>
    <n v="0"/>
    <n v="0"/>
    <n v="21"/>
    <m/>
    <n v="0"/>
    <n v="0"/>
    <m/>
    <s v="No coverage"/>
    <n v="0"/>
    <x v="0"/>
    <s v="Shalom is implementing pilot WASH committee capacity strengthen activities mainly in this Hpakant area"/>
  </r>
  <r>
    <x v="2"/>
    <s v="MMR001CMP103"/>
    <x v="2"/>
    <x v="34"/>
    <n v="96.341352999999998"/>
    <n v="25.613894999999999"/>
    <x v="0"/>
    <x v="0"/>
    <x v="2"/>
    <x v="0"/>
    <n v="54"/>
    <n v="262"/>
    <n v="272"/>
    <n v="272"/>
    <x v="0"/>
    <s v="DFID"/>
    <s v="KMSS"/>
    <x v="3"/>
    <x v="0"/>
    <d v="2016-12-31T00:00:00"/>
    <s v="Focal NGO"/>
    <x v="0"/>
    <n v="0"/>
    <n v="0"/>
    <s v="No"/>
    <s v="No"/>
    <n v="2"/>
    <n v="0"/>
    <n v="3000"/>
    <n v="0"/>
    <n v="1"/>
    <m/>
    <n v="1"/>
    <n v="272"/>
    <n v="1"/>
    <n v="272"/>
    <n v="1"/>
    <n v="272"/>
    <x v="0"/>
    <n v="0"/>
    <n v="0"/>
    <n v="0"/>
    <n v="54"/>
    <n v="0"/>
    <n v="1"/>
    <n v="272"/>
    <m/>
    <n v="8"/>
    <n v="0"/>
    <m/>
    <n v="10"/>
    <x v="1"/>
    <x v="1"/>
    <n v="0.73529411764705888"/>
    <n v="200"/>
    <n v="0"/>
    <n v="0"/>
    <n v="0.73529411764705888"/>
    <n v="200"/>
    <n v="0"/>
    <n v="1"/>
    <n v="272"/>
    <n v="3.5999999999999996"/>
    <n v="2"/>
    <s v="Separate, clearly perceived"/>
    <n v="0.73529411764705888"/>
    <n v="200"/>
    <n v="0.62000000000000011"/>
    <n v="0.74"/>
    <n v="201.28"/>
    <n v="3"/>
    <n v="1"/>
    <n v="0"/>
    <n v="1"/>
    <m/>
    <d v="2014-06-27T00:00:00"/>
    <s v="Blanket Consumable only"/>
    <n v="0"/>
    <s v="To be realised"/>
    <n v="55"/>
    <n v="2"/>
    <n v="54"/>
    <n v="0"/>
    <n v="0"/>
    <n v="17"/>
    <m/>
    <n v="1"/>
    <n v="272"/>
    <n v="4"/>
    <s v="Excellent coverage"/>
    <n v="0"/>
    <x v="2"/>
    <m/>
  </r>
  <r>
    <x v="2"/>
    <s v="MMR001CMP182"/>
    <x v="2"/>
    <x v="35"/>
    <n v="96.279200000000003"/>
    <n v="25.56551"/>
    <x v="0"/>
    <x v="0"/>
    <x v="1"/>
    <x v="0"/>
    <n v="12"/>
    <n v="51"/>
    <n v="25"/>
    <n v="37"/>
    <x v="1"/>
    <s v="UNICEF"/>
    <s v="Shalom"/>
    <x v="4"/>
    <x v="0"/>
    <d v="2016-03-27T00:00:00"/>
    <s v="Focal NGO"/>
    <x v="0"/>
    <n v="0"/>
    <n v="0"/>
    <s v="Yes"/>
    <s v="No"/>
    <n v="0"/>
    <n v="0"/>
    <n v="1600"/>
    <n v="0"/>
    <n v="0"/>
    <m/>
    <n v="1"/>
    <n v="37"/>
    <n v="1"/>
    <n v="37"/>
    <n v="1"/>
    <n v="37"/>
    <x v="0"/>
    <n v="0"/>
    <n v="0"/>
    <n v="9.2499999999999999E-2"/>
    <n v="0"/>
    <n v="0"/>
    <n v="1"/>
    <n v="37"/>
    <m/>
    <n v="9"/>
    <n v="0"/>
    <m/>
    <n v="3"/>
    <x v="1"/>
    <x v="1"/>
    <n v="1"/>
    <n v="37"/>
    <n v="0"/>
    <n v="0"/>
    <n v="1"/>
    <n v="37"/>
    <n v="0"/>
    <n v="1"/>
    <n v="37"/>
    <n v="0"/>
    <n v="1"/>
    <s v="Not separated yet"/>
    <n v="1"/>
    <n v="37"/>
    <n v="0"/>
    <n v="1"/>
    <n v="37"/>
    <n v="2"/>
    <n v="1"/>
    <n v="0"/>
    <n v="1"/>
    <m/>
    <d v="2014-02-25T00:00:00"/>
    <s v="Targetted Consumable only"/>
    <n v="0.3"/>
    <s v="To be realised"/>
    <n v="5"/>
    <n v="2"/>
    <n v="12"/>
    <n v="0"/>
    <n v="0"/>
    <n v="21"/>
    <m/>
    <n v="0"/>
    <n v="0"/>
    <m/>
    <s v="No coverage"/>
    <n v="0"/>
    <x v="0"/>
    <s v="Shalom is implementing pilot WASH committee capacity strengthen activities mainly in this Hpakant area"/>
  </r>
  <r>
    <x v="2"/>
    <s v="MMR001CMP183"/>
    <x v="2"/>
    <x v="36"/>
    <n v="96.353030000000004"/>
    <n v="25.668399999999998"/>
    <x v="0"/>
    <x v="0"/>
    <x v="1"/>
    <x v="0"/>
    <n v="9"/>
    <n v="40"/>
    <n v="25"/>
    <n v="40"/>
    <x v="1"/>
    <s v="UNICEF"/>
    <s v="Shalom"/>
    <x v="4"/>
    <x v="0"/>
    <d v="2016-03-27T00:00:00"/>
    <s v="Focal NGO"/>
    <x v="0"/>
    <n v="0"/>
    <n v="0"/>
    <s v="Yes"/>
    <s v="No"/>
    <n v="0"/>
    <n v="0"/>
    <n v="3750"/>
    <n v="0"/>
    <n v="0"/>
    <m/>
    <n v="1"/>
    <n v="40"/>
    <n v="1"/>
    <n v="40"/>
    <n v="1"/>
    <n v="40"/>
    <x v="0"/>
    <n v="0"/>
    <n v="0"/>
    <n v="0.1"/>
    <n v="0"/>
    <n v="0"/>
    <n v="1"/>
    <n v="40"/>
    <m/>
    <n v="6"/>
    <n v="0"/>
    <m/>
    <n v="8"/>
    <x v="1"/>
    <x v="0"/>
    <n v="1"/>
    <n v="40"/>
    <n v="0"/>
    <n v="0"/>
    <n v="1"/>
    <n v="40"/>
    <n v="0"/>
    <n v="1"/>
    <n v="40"/>
    <n v="0"/>
    <n v="1"/>
    <s v="Not separated yet"/>
    <n v="1"/>
    <n v="40"/>
    <n v="0"/>
    <n v="1"/>
    <n v="40"/>
    <n v="2"/>
    <n v="1"/>
    <n v="0"/>
    <n v="1"/>
    <m/>
    <d v="2014-02-25T00:00:00"/>
    <s v="Targetted Consumable only"/>
    <n v="0.3"/>
    <s v="To be realised"/>
    <n v="6"/>
    <n v="2"/>
    <n v="9"/>
    <n v="0"/>
    <n v="0"/>
    <n v="21"/>
    <m/>
    <n v="0"/>
    <n v="0"/>
    <m/>
    <s v="No coverage"/>
    <n v="0"/>
    <x v="0"/>
    <s v="Shalom is implementing pilot WASH committee capacity strengthen activities mainly in this Hpakant area"/>
  </r>
  <r>
    <x v="2"/>
    <s v="MMR001CMP184"/>
    <x v="2"/>
    <x v="37"/>
    <n v="96.286680000000004"/>
    <n v="25.577559999999998"/>
    <x v="0"/>
    <x v="0"/>
    <x v="1"/>
    <x v="0"/>
    <n v="38"/>
    <n v="186"/>
    <n v="162"/>
    <n v="190"/>
    <x v="1"/>
    <s v="UNICEF"/>
    <s v="Shalom"/>
    <x v="4"/>
    <x v="0"/>
    <d v="2016-03-27T00:00:00"/>
    <s v="Focal NGO"/>
    <x v="0"/>
    <n v="0"/>
    <n v="0"/>
    <s v="No"/>
    <s v="No"/>
    <n v="0"/>
    <n v="0"/>
    <n v="4800"/>
    <n v="0"/>
    <n v="0"/>
    <m/>
    <n v="1"/>
    <n v="190"/>
    <n v="1"/>
    <n v="190"/>
    <n v="1"/>
    <n v="190"/>
    <x v="0"/>
    <n v="0"/>
    <n v="0"/>
    <n v="0.47499999999999998"/>
    <n v="0"/>
    <n v="0"/>
    <n v="1"/>
    <n v="190"/>
    <m/>
    <n v="0"/>
    <n v="0"/>
    <m/>
    <n v="8"/>
    <x v="3"/>
    <x v="1"/>
    <n v="0.84210526315789469"/>
    <n v="160"/>
    <n v="0"/>
    <n v="0"/>
    <n v="0.84210526315789469"/>
    <n v="160"/>
    <n v="0"/>
    <n v="1"/>
    <n v="190"/>
    <n v="1.5"/>
    <n v="3"/>
    <s v="Not separated yet"/>
    <n v="1"/>
    <n v="190"/>
    <n v="0"/>
    <n v="1"/>
    <n v="190"/>
    <n v="1"/>
    <n v="0.52631578947368418"/>
    <n v="0.8600000000000001"/>
    <n v="1"/>
    <m/>
    <d v="2014-02-25T00:00:00"/>
    <s v="Targetted Consumable only"/>
    <n v="0.3"/>
    <s v="To be realised"/>
    <n v="0"/>
    <n v="0"/>
    <n v="38"/>
    <n v="0"/>
    <n v="0"/>
    <n v="23"/>
    <m/>
    <n v="0"/>
    <n v="0"/>
    <m/>
    <s v="No coverage"/>
    <n v="0"/>
    <x v="0"/>
    <s v="Shalom is implementing pilot WASH committee capacity strengthen activities mainly in this Hpakant area"/>
  </r>
  <r>
    <x v="2"/>
    <s v="MMR001CMP105"/>
    <x v="2"/>
    <x v="38"/>
    <n v="96.306910999999999"/>
    <n v="25.599250000000001"/>
    <x v="0"/>
    <x v="0"/>
    <x v="1"/>
    <x v="0"/>
    <n v="17"/>
    <n v="65"/>
    <n v="75"/>
    <n v="79"/>
    <x v="1"/>
    <s v="UNICEF"/>
    <s v="Shalom"/>
    <x v="4"/>
    <x v="0"/>
    <d v="2016-03-27T00:00:00"/>
    <s v="Focal NGO"/>
    <x v="0"/>
    <n v="0"/>
    <n v="0"/>
    <s v="Yes"/>
    <s v="No"/>
    <n v="0"/>
    <n v="0"/>
    <n v="5600"/>
    <n v="0"/>
    <n v="0"/>
    <m/>
    <n v="1"/>
    <n v="79"/>
    <n v="1"/>
    <n v="79"/>
    <n v="1"/>
    <n v="79"/>
    <x v="0"/>
    <n v="0"/>
    <n v="0"/>
    <n v="0.19750000000000001"/>
    <n v="0"/>
    <n v="0"/>
    <n v="1"/>
    <n v="79"/>
    <m/>
    <n v="0"/>
    <m/>
    <m/>
    <n v="2"/>
    <x v="1"/>
    <x v="0"/>
    <n v="0.50632911392405067"/>
    <n v="40"/>
    <n v="0"/>
    <n v="0"/>
    <n v="0.50632911392405067"/>
    <n v="40"/>
    <n v="0"/>
    <n v="1"/>
    <n v="79"/>
    <n v="1.9500000000000002"/>
    <n v="0"/>
    <s v="Separate, clearly perceived"/>
    <n v="0"/>
    <n v="0"/>
    <n v="0.65"/>
    <n v="1"/>
    <n v="79"/>
    <n v="1"/>
    <n v="1"/>
    <n v="0"/>
    <n v="1"/>
    <s v="a bathing space was removed due to land owner filled gravel into a land"/>
    <d v="2014-02-25T00:00:00"/>
    <s v="Blanket Consumable only"/>
    <n v="0.3"/>
    <s v="To be realised"/>
    <m/>
    <m/>
    <n v="17"/>
    <n v="0"/>
    <n v="0"/>
    <n v="23"/>
    <m/>
    <n v="0"/>
    <n v="0"/>
    <m/>
    <s v="No coverage"/>
    <n v="0"/>
    <x v="0"/>
    <s v="Shalom is implementing pilot WASH committee capacity strengthen activities mainly in this Hpakant area"/>
  </r>
  <r>
    <x v="3"/>
    <s v="MMR015CMP218"/>
    <x v="3"/>
    <x v="39"/>
    <m/>
    <m/>
    <x v="0"/>
    <x v="0"/>
    <x v="2"/>
    <x v="0"/>
    <n v="42"/>
    <n v="273"/>
    <n v="217"/>
    <n v="217"/>
    <x v="1"/>
    <s v="HIDA/WHH/UNICEF"/>
    <s v="KBC"/>
    <x v="1"/>
    <x v="0"/>
    <d v="2016-05-31T00:00:00"/>
    <s v="Focal NGO"/>
    <x v="0"/>
    <n v="0"/>
    <n v="0"/>
    <s v="No"/>
    <s v="No"/>
    <n v="2"/>
    <n v="0"/>
    <n v="4000"/>
    <n v="1"/>
    <n v="1"/>
    <s v="Ceramic Water filter"/>
    <n v="1"/>
    <n v="217"/>
    <n v="1"/>
    <n v="217"/>
    <n v="1"/>
    <n v="217"/>
    <x v="0"/>
    <n v="0"/>
    <n v="0"/>
    <n v="0"/>
    <n v="42"/>
    <n v="217"/>
    <n v="1"/>
    <n v="217"/>
    <m/>
    <n v="20"/>
    <n v="0"/>
    <m/>
    <n v="9"/>
    <x v="2"/>
    <x v="3"/>
    <n v="0.82949308755760365"/>
    <n v="180"/>
    <n v="0"/>
    <n v="0"/>
    <n v="0.82949308755760365"/>
    <n v="180"/>
    <n v="0"/>
    <n v="1"/>
    <n v="217"/>
    <n v="1.8499999999999996"/>
    <n v="0"/>
    <s v="Not separated yet"/>
    <n v="0"/>
    <n v="0"/>
    <n v="2.73"/>
    <n v="0"/>
    <n v="0"/>
    <n v="8"/>
    <n v="1"/>
    <n v="0"/>
    <n v="1"/>
    <m/>
    <d v="2015-05-01T00:00:00"/>
    <s v="Blanket Consumable only"/>
    <m/>
    <d v="2016-04-30T00:00:00"/>
    <n v="46"/>
    <n v="7"/>
    <n v="0"/>
    <n v="1"/>
    <n v="217"/>
    <n v="2"/>
    <s v="refilling kit, laundry soap(shwe wah) 1p=1600 g(8 pcs)"/>
    <n v="0"/>
    <n v="0"/>
    <n v="2"/>
    <s v="Excellent coverage"/>
    <n v="0"/>
    <x v="2"/>
    <m/>
  </r>
  <r>
    <x v="3"/>
    <s v="MMR015CMP019"/>
    <x v="3"/>
    <x v="40"/>
    <n v="98.128"/>
    <n v="23.24"/>
    <x v="0"/>
    <x v="0"/>
    <x v="2"/>
    <x v="0"/>
    <n v="54"/>
    <n v="392"/>
    <n v="307"/>
    <n v="307"/>
    <x v="0"/>
    <s v="HIDA/WHH"/>
    <s v="Church"/>
    <x v="1"/>
    <x v="0"/>
    <d v="2016-03-31T00:00:00"/>
    <s v="Focal NGO"/>
    <x v="0"/>
    <n v="0"/>
    <n v="0"/>
    <s v="No"/>
    <s v="No"/>
    <n v="0"/>
    <n v="0"/>
    <n v="17000"/>
    <n v="0"/>
    <n v="0"/>
    <m/>
    <n v="1"/>
    <n v="307"/>
    <n v="1"/>
    <n v="307"/>
    <n v="1"/>
    <n v="307"/>
    <x v="0"/>
    <n v="0"/>
    <n v="0"/>
    <n v="0.76749999999999996"/>
    <n v="0"/>
    <n v="0"/>
    <n v="1"/>
    <n v="307"/>
    <s v="Water Tank(1)"/>
    <n v="10"/>
    <n v="27"/>
    <m/>
    <n v="0"/>
    <x v="2"/>
    <x v="1"/>
    <n v="1"/>
    <n v="307"/>
    <n v="1"/>
    <n v="307"/>
    <n v="0"/>
    <n v="0"/>
    <n v="0"/>
    <n v="1"/>
    <n v="307"/>
    <n v="15.35"/>
    <n v="0"/>
    <s v="Not separated yet"/>
    <n v="0"/>
    <n v="0"/>
    <n v="3.92"/>
    <n v="0"/>
    <n v="0"/>
    <n v="6"/>
    <n v="1"/>
    <n v="0"/>
    <n v="1"/>
    <s v=" No plan for Hand Washing space."/>
    <m/>
    <s v="Blanket Consumable only"/>
    <m/>
    <s v="To be realised"/>
    <n v="0"/>
    <n v="8"/>
    <n v="54"/>
    <n v="0"/>
    <n v="0"/>
    <s v="Column BN to be completed"/>
    <s v="refilling kit, laundry soap(shwe wah) 1p=1600 g(8 pcs)"/>
    <n v="0"/>
    <n v="0"/>
    <n v="1"/>
    <s v="Excellent coverage"/>
    <n v="0"/>
    <x v="2"/>
    <m/>
  </r>
  <r>
    <x v="4"/>
    <s v="MMR001CMP074"/>
    <x v="1"/>
    <x v="41"/>
    <n v="98.144502500000002"/>
    <n v="26.890058"/>
    <x v="0"/>
    <x v="0"/>
    <x v="2"/>
    <x v="0"/>
    <n v="11"/>
    <n v="17"/>
    <n v="17"/>
    <n v="17"/>
    <x v="1"/>
    <m/>
    <m/>
    <x v="2"/>
    <x v="1"/>
    <s v="Gap"/>
    <s v="Not documented"/>
    <x v="1"/>
    <n v="0"/>
    <n v="0"/>
    <s v="No"/>
    <s v="No"/>
    <n v="0"/>
    <n v="0"/>
    <n v="0"/>
    <n v="0"/>
    <n v="0"/>
    <m/>
    <n v="0"/>
    <n v="0"/>
    <n v="0"/>
    <n v="0"/>
    <n v="0"/>
    <n v="0"/>
    <x v="1"/>
    <n v="0"/>
    <n v="0"/>
    <n v="4.2500000000000003E-2"/>
    <n v="0"/>
    <n v="0"/>
    <n v="0"/>
    <n v="0"/>
    <s v="Not reachable location"/>
    <n v="0"/>
    <n v="0"/>
    <m/>
    <n v="0"/>
    <x v="2"/>
    <x v="1"/>
    <n v="0"/>
    <n v="0"/>
    <n v="0"/>
    <n v="0"/>
    <n v="0"/>
    <n v="0"/>
    <n v="0"/>
    <n v="0"/>
    <n v="0"/>
    <n v="0.85"/>
    <n v="0"/>
    <s v="Not separated yet"/>
    <n v="0"/>
    <n v="0"/>
    <n v="0.17"/>
    <n v="0"/>
    <n v="0"/>
    <n v="0"/>
    <n v="0"/>
    <n v="0.17"/>
    <n v="0"/>
    <m/>
    <m/>
    <s v="Blanket Consumable only"/>
    <n v="0"/>
    <s v="To be realised"/>
    <n v="0"/>
    <n v="0"/>
    <n v="11"/>
    <n v="0"/>
    <n v="0"/>
    <s v="Column BN to be completed"/>
    <m/>
    <n v="0"/>
    <n v="0"/>
    <n v="0"/>
    <s v="No coverage"/>
    <n v="0"/>
    <x v="2"/>
    <m/>
  </r>
  <r>
    <x v="5"/>
    <s v="MMR015CMP015"/>
    <x v="3"/>
    <x v="42"/>
    <n v="97.848529999999997"/>
    <n v="23.4008"/>
    <x v="0"/>
    <x v="0"/>
    <x v="2"/>
    <x v="3"/>
    <n v="86"/>
    <n v="488"/>
    <n v="467"/>
    <n v="467"/>
    <x v="0"/>
    <s v="HIDA/WHH"/>
    <s v="KBC"/>
    <x v="1"/>
    <x v="0"/>
    <d v="2016-03-31T00:00:00"/>
    <s v="Focal NGO"/>
    <x v="0"/>
    <n v="0"/>
    <n v="0"/>
    <s v="No"/>
    <s v="No"/>
    <n v="0"/>
    <n v="0"/>
    <n v="86400"/>
    <n v="1"/>
    <n v="0"/>
    <m/>
    <n v="1"/>
    <n v="467"/>
    <n v="1"/>
    <n v="467"/>
    <n v="1"/>
    <n v="467"/>
    <x v="0"/>
    <n v="0"/>
    <n v="0"/>
    <n v="1.1675"/>
    <n v="0"/>
    <n v="467"/>
    <n v="1"/>
    <n v="467"/>
    <s v="Water Tank(1)"/>
    <n v="0"/>
    <n v="86"/>
    <n v="86"/>
    <n v="0"/>
    <x v="2"/>
    <x v="0"/>
    <n v="1"/>
    <n v="467"/>
    <n v="1"/>
    <n v="467"/>
    <n v="0"/>
    <n v="0"/>
    <n v="2"/>
    <n v="1"/>
    <n v="467"/>
    <n v="25.35"/>
    <n v="1"/>
    <s v="Not separated yet"/>
    <n v="0.21413276231263384"/>
    <n v="100"/>
    <n v="3.88"/>
    <n v="0.31"/>
    <n v="144.77000000000001"/>
    <n v="0"/>
    <n v="0"/>
    <n v="4.88"/>
    <n v="0"/>
    <s v="MDCG supported WASH-Shelter as HH level (no need to construct semi-parmanent), No plan for hand washing space."/>
    <d v="2015-05-01T00:00:00"/>
    <s v="Blanket Consumable only"/>
    <m/>
    <d v="2016-04-30T00:00:00"/>
    <n v="82"/>
    <n v="8"/>
    <n v="4"/>
    <n v="0.95348837209302328"/>
    <n v="445.27906976744185"/>
    <n v="1"/>
    <m/>
    <n v="0"/>
    <n v="0"/>
    <n v="3"/>
    <s v="Excellent coverage"/>
    <n v="0"/>
    <x v="2"/>
    <m/>
  </r>
  <r>
    <x v="5"/>
    <m/>
    <x v="3"/>
    <x v="43"/>
    <m/>
    <m/>
    <x v="2"/>
    <x v="0"/>
    <x v="0"/>
    <x v="2"/>
    <m/>
    <m/>
    <n v="1191"/>
    <n v="1191"/>
    <x v="1"/>
    <s v="UNICEF"/>
    <m/>
    <x v="1"/>
    <x v="0"/>
    <d v="2016-05-31T00:00:00"/>
    <s v="Focal NGO"/>
    <x v="0"/>
    <n v="0"/>
    <n v="0"/>
    <s v="No"/>
    <s v="No"/>
    <n v="0"/>
    <n v="0"/>
    <n v="0"/>
    <n v="0"/>
    <n v="0"/>
    <m/>
    <n v="0"/>
    <n v="0"/>
    <n v="0"/>
    <n v="0"/>
    <n v="0"/>
    <n v="0"/>
    <x v="1"/>
    <n v="0"/>
    <n v="0"/>
    <n v="2.9775"/>
    <n v="0"/>
    <n v="0"/>
    <n v="1"/>
    <n v="1191"/>
    <m/>
    <n v="0"/>
    <n v="0"/>
    <m/>
    <n v="0"/>
    <x v="1"/>
    <x v="4"/>
    <n v="0"/>
    <n v="0"/>
    <n v="0"/>
    <n v="0"/>
    <n v="0"/>
    <n v="0"/>
    <n v="3"/>
    <n v="1"/>
    <n v="1191"/>
    <n v="62.55"/>
    <n v="0"/>
    <m/>
    <n v="0"/>
    <n v="0"/>
    <n v="0"/>
    <n v="0"/>
    <n v="0"/>
    <n v="0"/>
    <n v="0"/>
    <n v="0"/>
    <n v="1"/>
    <m/>
    <m/>
    <m/>
    <m/>
    <s v="To be realised"/>
    <m/>
    <m/>
    <n v="0"/>
    <n v="1"/>
    <n v="1191"/>
    <s v="Column BN to be completed"/>
    <m/>
    <n v="0"/>
    <n v="0"/>
    <m/>
    <s v="No coverage"/>
    <m/>
    <x v="3"/>
    <m/>
  </r>
  <r>
    <x v="5"/>
    <s v="MMR015CMP016"/>
    <x v="3"/>
    <x v="44"/>
    <n v="97.926813999999993"/>
    <n v="23.450914000000001"/>
    <x v="0"/>
    <x v="0"/>
    <x v="0"/>
    <x v="0"/>
    <n v="65"/>
    <n v="310"/>
    <n v="310"/>
    <n v="305"/>
    <x v="0"/>
    <s v="HIDA/WHH/UNICEF"/>
    <s v="KBC"/>
    <x v="1"/>
    <x v="0"/>
    <d v="2016-05-31T00:00:00"/>
    <s v="Focal NGO"/>
    <x v="0"/>
    <n v="0"/>
    <n v="0"/>
    <s v="No"/>
    <s v="No"/>
    <n v="0"/>
    <n v="0"/>
    <n v="2000"/>
    <n v="1"/>
    <n v="0"/>
    <m/>
    <n v="0.43715846994535523"/>
    <n v="133.33333333333334"/>
    <n v="0.43715846994535523"/>
    <n v="133.33333333333334"/>
    <n v="0.43715846994535523"/>
    <n v="133.33333333333334"/>
    <x v="3"/>
    <n v="0"/>
    <n v="0"/>
    <n v="0.76249999999999996"/>
    <n v="0"/>
    <n v="305"/>
    <n v="1"/>
    <n v="305"/>
    <s v="tube-well(1)"/>
    <n v="65"/>
    <n v="0"/>
    <m/>
    <n v="10"/>
    <x v="0"/>
    <x v="0"/>
    <n v="0.65573770491803274"/>
    <n v="199.99999999999997"/>
    <n v="0"/>
    <n v="0"/>
    <n v="0.65573770491803274"/>
    <n v="199.99999999999997"/>
    <n v="2"/>
    <n v="0.66"/>
    <n v="201.3"/>
    <n v="7.25"/>
    <n v="2"/>
    <s v="Not separated yet"/>
    <n v="0.65573770491803274"/>
    <n v="199.99999999999997"/>
    <n v="1.1000000000000001"/>
    <n v="0.68"/>
    <n v="207.4"/>
    <n v="3"/>
    <n v="0.98360655737704916"/>
    <n v="0.10000000000000009"/>
    <n v="0.98"/>
    <m/>
    <d v="2012-10-01T00:00:00"/>
    <s v="Blanket Consumable only"/>
    <m/>
    <s v="To be realised"/>
    <n v="84"/>
    <n v="8"/>
    <n v="65"/>
    <n v="0"/>
    <n v="0"/>
    <n v="33"/>
    <s v="Metta continue refill HK distribution in this camp"/>
    <n v="0.3"/>
    <n v="91.5"/>
    <n v="1"/>
    <s v="Excellent coverage"/>
    <n v="0"/>
    <x v="0"/>
    <m/>
  </r>
  <r>
    <x v="5"/>
    <s v="MMR015CMP017"/>
    <x v="3"/>
    <x v="45"/>
    <n v="97.947360000000003"/>
    <n v="23.460349999999998"/>
    <x v="0"/>
    <x v="0"/>
    <x v="0"/>
    <x v="0"/>
    <n v="30"/>
    <n v="139"/>
    <n v="141"/>
    <n v="141"/>
    <x v="1"/>
    <s v="DFID"/>
    <s v="KMSS"/>
    <x v="3"/>
    <x v="0"/>
    <d v="2016-12-31T00:00:00"/>
    <s v="Focal NGO"/>
    <x v="0"/>
    <n v="0"/>
    <n v="0"/>
    <s v="No"/>
    <s v="No"/>
    <n v="1"/>
    <n v="0"/>
    <n v="0"/>
    <n v="1"/>
    <n v="1"/>
    <m/>
    <n v="1"/>
    <n v="141"/>
    <n v="1"/>
    <n v="141"/>
    <n v="1"/>
    <n v="141"/>
    <x v="0"/>
    <n v="0"/>
    <n v="0"/>
    <n v="0"/>
    <n v="30"/>
    <n v="141"/>
    <n v="1"/>
    <n v="141"/>
    <s v="will provide one Water Tank "/>
    <n v="17"/>
    <n v="0"/>
    <m/>
    <n v="8"/>
    <x v="2"/>
    <x v="3"/>
    <n v="1"/>
    <n v="141"/>
    <n v="0"/>
    <n v="0"/>
    <n v="1"/>
    <n v="141"/>
    <n v="2"/>
    <n v="1"/>
    <n v="141"/>
    <n v="1.0499999999999998"/>
    <n v="2"/>
    <s v="Separate, clearly perceived"/>
    <n v="1"/>
    <n v="141"/>
    <n v="0"/>
    <n v="1"/>
    <n v="141"/>
    <n v="0"/>
    <n v="0"/>
    <n v="1.39"/>
    <n v="0"/>
    <s v="Emergency Latrines need to decomission, No plan for hand washing space."/>
    <m/>
    <s v="Blanket Consumable only"/>
    <n v="0"/>
    <s v="To be realised"/>
    <n v="0"/>
    <n v="3"/>
    <n v="30"/>
    <n v="0"/>
    <n v="0"/>
    <s v="Column BN to be completed"/>
    <m/>
    <n v="0"/>
    <n v="0"/>
    <n v="2"/>
    <s v="Excellent coverage"/>
    <n v="0"/>
    <x v="0"/>
    <m/>
  </r>
  <r>
    <x v="5"/>
    <s v="MMR015CMP018"/>
    <x v="3"/>
    <x v="46"/>
    <n v="97.793306999999999"/>
    <n v="23.589089000000001"/>
    <x v="0"/>
    <x v="0"/>
    <x v="2"/>
    <x v="3"/>
    <n v="77"/>
    <n v="10"/>
    <n v="364"/>
    <n v="364"/>
    <x v="0"/>
    <s v="HIDA/WHH"/>
    <s v="KBC"/>
    <x v="1"/>
    <x v="0"/>
    <d v="2016-03-31T00:00:00"/>
    <s v="Focal NGO"/>
    <x v="0"/>
    <n v="0"/>
    <n v="0"/>
    <s v="No"/>
    <s v="No"/>
    <n v="0"/>
    <n v="0"/>
    <n v="100000"/>
    <n v="1"/>
    <n v="0"/>
    <m/>
    <n v="1"/>
    <n v="364"/>
    <n v="1"/>
    <n v="364"/>
    <n v="1"/>
    <n v="364"/>
    <x v="0"/>
    <n v="0"/>
    <n v="0"/>
    <n v="0.91"/>
    <n v="0"/>
    <n v="364"/>
    <n v="1"/>
    <n v="364"/>
    <m/>
    <n v="0"/>
    <n v="74"/>
    <n v="74"/>
    <n v="0"/>
    <x v="2"/>
    <x v="0"/>
    <n v="1"/>
    <n v="364"/>
    <n v="1"/>
    <n v="364"/>
    <n v="0"/>
    <n v="0"/>
    <n v="2"/>
    <n v="1"/>
    <n v="364"/>
    <n v="20.2"/>
    <n v="5"/>
    <s v="Not separated yet"/>
    <n v="1"/>
    <n v="364"/>
    <n v="0"/>
    <n v="1"/>
    <n v="364"/>
    <n v="4"/>
    <n v="1"/>
    <n v="0"/>
    <n v="1"/>
    <s v="MDCG + Metta supported WASH-Shelter facilities at  HH level (no need to construct semi-parmanent), no plan for hand washing space."/>
    <d v="2015-05-01T00:00:00"/>
    <s v="Blanket Consumable only"/>
    <m/>
    <d v="2016-04-30T00:00:00"/>
    <n v="77"/>
    <n v="8"/>
    <n v="0"/>
    <n v="1"/>
    <n v="364"/>
    <n v="1"/>
    <m/>
    <n v="0"/>
    <n v="0"/>
    <n v="2"/>
    <s v="Excellent coverage"/>
    <n v="0"/>
    <x v="2"/>
    <m/>
  </r>
  <r>
    <x v="5"/>
    <s v="MMR015CMP006"/>
    <x v="3"/>
    <x v="47"/>
    <n v="98.220614999999995"/>
    <n v="23.400155999999999"/>
    <x v="0"/>
    <x v="0"/>
    <x v="2"/>
    <x v="3"/>
    <n v="51"/>
    <n v="260"/>
    <n v="251"/>
    <n v="251"/>
    <x v="0"/>
    <s v="HIDA/WHH"/>
    <s v="KBC"/>
    <x v="1"/>
    <x v="0"/>
    <d v="2016-03-31T00:00:00"/>
    <s v="Focal NGO"/>
    <x v="0"/>
    <n v="0"/>
    <n v="0"/>
    <s v="Yes"/>
    <s v="No"/>
    <n v="0"/>
    <n v="0"/>
    <n v="3500"/>
    <n v="1"/>
    <n v="0"/>
    <m/>
    <n v="0.92961487383798147"/>
    <n v="233.33333333333334"/>
    <n v="0.92961487383798147"/>
    <n v="233.33333333333334"/>
    <n v="0.92961487383798147"/>
    <n v="233.33333333333334"/>
    <x v="0"/>
    <n v="0"/>
    <n v="0"/>
    <n v="0.62749999999999995"/>
    <n v="0"/>
    <n v="251"/>
    <n v="1"/>
    <n v="251"/>
    <m/>
    <n v="0"/>
    <n v="41"/>
    <n v="41"/>
    <n v="0"/>
    <x v="2"/>
    <x v="0"/>
    <n v="1"/>
    <n v="251"/>
    <n v="1"/>
    <n v="251"/>
    <n v="0"/>
    <n v="0"/>
    <n v="2"/>
    <n v="1"/>
    <n v="251"/>
    <n v="14.55"/>
    <n v="3"/>
    <s v="Not separated yet"/>
    <n v="1"/>
    <n v="251"/>
    <n v="0"/>
    <n v="1"/>
    <n v="251"/>
    <n v="3"/>
    <n v="1"/>
    <n v="0"/>
    <n v="1"/>
    <s v="MDCG supported WASH-Shelter as HH level (no need to construct semi-parmanent), No plan for hand washing space."/>
    <d v="2015-05-01T00:00:00"/>
    <s v="Blanket Consumable only"/>
    <m/>
    <d v="2016-04-30T00:00:00"/>
    <n v="49"/>
    <n v="8"/>
    <n v="2"/>
    <n v="0.96078431372549022"/>
    <n v="241.15686274509804"/>
    <n v="1"/>
    <s v="last refill HK distributed was in July 15 and it covered 3 months"/>
    <n v="0"/>
    <n v="0"/>
    <n v="1"/>
    <s v="Excellent coverage"/>
    <n v="0"/>
    <x v="2"/>
    <m/>
  </r>
  <r>
    <x v="5"/>
    <s v="MMR015CMP019"/>
    <x v="3"/>
    <x v="48"/>
    <n v="98.213958000000005"/>
    <n v="23.391741"/>
    <x v="0"/>
    <x v="0"/>
    <x v="2"/>
    <x v="3"/>
    <n v="21"/>
    <n v="107"/>
    <n v="108"/>
    <n v="108"/>
    <x v="1"/>
    <s v="DFID"/>
    <s v="KMSS"/>
    <x v="3"/>
    <x v="0"/>
    <d v="2016-12-31T00:00:00"/>
    <s v="Focal NGO"/>
    <x v="0"/>
    <n v="0"/>
    <n v="0"/>
    <s v="No"/>
    <s v="No"/>
    <n v="0"/>
    <n v="0"/>
    <n v="14400"/>
    <n v="1"/>
    <n v="1"/>
    <m/>
    <n v="1"/>
    <n v="108"/>
    <n v="1"/>
    <n v="108"/>
    <n v="1"/>
    <n v="108"/>
    <x v="0"/>
    <n v="0"/>
    <n v="0"/>
    <n v="0.27"/>
    <n v="21"/>
    <n v="108"/>
    <n v="1"/>
    <n v="108"/>
    <m/>
    <n v="5"/>
    <n v="12"/>
    <n v="12"/>
    <n v="8"/>
    <x v="2"/>
    <x v="3"/>
    <n v="1"/>
    <n v="108"/>
    <n v="0"/>
    <n v="0"/>
    <n v="1"/>
    <n v="108"/>
    <n v="2"/>
    <n v="1"/>
    <n v="108"/>
    <n v="0"/>
    <n v="2"/>
    <s v="Separate, clearly perceived"/>
    <n v="1"/>
    <n v="108"/>
    <n v="0"/>
    <n v="1"/>
    <n v="108"/>
    <n v="0"/>
    <n v="0"/>
    <n v="1.07"/>
    <n v="0"/>
    <s v="Emergency Latrines need to decomission, No plan for hand washing space."/>
    <m/>
    <s v="Blanket Consumable only"/>
    <n v="0"/>
    <s v="To be realised"/>
    <n v="0"/>
    <n v="3"/>
    <n v="21"/>
    <n v="0"/>
    <n v="0"/>
    <s v="Column BN to be completed"/>
    <m/>
    <n v="0"/>
    <n v="0"/>
    <n v="2"/>
    <s v="Excellent coverage"/>
    <n v="0"/>
    <x v="2"/>
    <m/>
  </r>
  <r>
    <x v="5"/>
    <s v="MMR015CMP019"/>
    <x v="3"/>
    <x v="49"/>
    <n v="97.819062000000002"/>
    <n v="23.694047000000001"/>
    <x v="0"/>
    <x v="0"/>
    <x v="2"/>
    <x v="0"/>
    <n v="71"/>
    <n v="278"/>
    <n v="278"/>
    <n v="278"/>
    <x v="0"/>
    <s v="HIDA/WHH"/>
    <s v="KBC"/>
    <x v="1"/>
    <x v="0"/>
    <d v="2016-03-31T00:00:00"/>
    <s v="Focal NGO"/>
    <x v="0"/>
    <n v="0"/>
    <n v="0"/>
    <s v="No"/>
    <s v="No"/>
    <n v="0"/>
    <n v="0"/>
    <n v="57600"/>
    <n v="1"/>
    <n v="0"/>
    <m/>
    <n v="1"/>
    <n v="278"/>
    <n v="1"/>
    <n v="278"/>
    <n v="1"/>
    <n v="278"/>
    <x v="0"/>
    <n v="0"/>
    <n v="0"/>
    <n v="0.69499999999999995"/>
    <n v="0"/>
    <n v="278"/>
    <n v="1"/>
    <n v="278"/>
    <m/>
    <n v="21"/>
    <n v="9"/>
    <m/>
    <n v="9"/>
    <x v="2"/>
    <x v="1"/>
    <n v="1"/>
    <n v="278"/>
    <n v="0.35251798561151082"/>
    <n v="98.000000000000014"/>
    <n v="0.64748201438848918"/>
    <n v="180"/>
    <n v="4"/>
    <n v="1"/>
    <n v="278"/>
    <n v="8.9"/>
    <n v="2"/>
    <s v="Not separated yet"/>
    <n v="0.71942446043165464"/>
    <n v="200"/>
    <n v="0.7799999999999998"/>
    <n v="0.75"/>
    <n v="208.5"/>
    <n v="9"/>
    <n v="1"/>
    <n v="0"/>
    <n v="1"/>
    <s v="community is washing their hand at bathing space that was near from the latrines "/>
    <d v="2015-05-11T00:00:00"/>
    <s v="Blanket Consumable only"/>
    <m/>
    <d v="2016-05-10T00:00:00"/>
    <n v="85"/>
    <n v="8"/>
    <n v="0"/>
    <n v="1"/>
    <n v="278"/>
    <n v="1"/>
    <m/>
    <n v="0"/>
    <n v="0"/>
    <n v="2"/>
    <s v="Excellent coverage"/>
    <n v="0"/>
    <x v="2"/>
    <m/>
  </r>
  <r>
    <x v="5"/>
    <m/>
    <x v="3"/>
    <x v="50"/>
    <m/>
    <m/>
    <x v="2"/>
    <x v="0"/>
    <x v="2"/>
    <x v="2"/>
    <m/>
    <m/>
    <n v="141"/>
    <n v="141"/>
    <x v="1"/>
    <s v="UNICEF"/>
    <m/>
    <x v="1"/>
    <x v="0"/>
    <d v="2016-05-31T00:00:00"/>
    <s v="Focal NGO"/>
    <x v="0"/>
    <n v="0"/>
    <n v="0"/>
    <s v="No"/>
    <s v="No"/>
    <n v="0"/>
    <n v="0"/>
    <n v="0"/>
    <n v="0"/>
    <n v="0"/>
    <m/>
    <n v="0"/>
    <n v="0"/>
    <n v="0"/>
    <n v="0"/>
    <n v="0"/>
    <n v="0"/>
    <x v="1"/>
    <n v="0"/>
    <n v="0"/>
    <n v="0.35249999999999998"/>
    <n v="0"/>
    <n v="0"/>
    <n v="1"/>
    <n v="141"/>
    <m/>
    <n v="0"/>
    <n v="0"/>
    <m/>
    <n v="0"/>
    <x v="1"/>
    <x v="4"/>
    <n v="0"/>
    <n v="0"/>
    <n v="0"/>
    <n v="0"/>
    <n v="0"/>
    <n v="0"/>
    <n v="0"/>
    <n v="1"/>
    <n v="141"/>
    <n v="7.05"/>
    <n v="0"/>
    <m/>
    <n v="0"/>
    <n v="0"/>
    <n v="0"/>
    <n v="0"/>
    <n v="0"/>
    <n v="0"/>
    <n v="0"/>
    <n v="0"/>
    <n v="1"/>
    <m/>
    <m/>
    <m/>
    <m/>
    <s v="To be realised"/>
    <m/>
    <m/>
    <n v="0"/>
    <n v="1"/>
    <n v="141"/>
    <s v="Column BN to be completed"/>
    <m/>
    <n v="0"/>
    <n v="0"/>
    <m/>
    <s v="No coverage"/>
    <m/>
    <x v="3"/>
    <m/>
  </r>
  <r>
    <x v="5"/>
    <m/>
    <x v="3"/>
    <x v="51"/>
    <n v="97.875889999999998"/>
    <n v="23.44744"/>
    <x v="0"/>
    <x v="0"/>
    <x v="2"/>
    <x v="3"/>
    <n v="105"/>
    <n v="568"/>
    <n v="531"/>
    <n v="531"/>
    <x v="0"/>
    <s v="HIDA/WHH"/>
    <m/>
    <x v="1"/>
    <x v="0"/>
    <d v="2016-03-31T00:00:00"/>
    <s v="Focal NGO"/>
    <x v="0"/>
    <n v="0"/>
    <n v="0"/>
    <s v="No"/>
    <s v="No"/>
    <n v="1"/>
    <n v="0"/>
    <n v="2000"/>
    <n v="1"/>
    <n v="0"/>
    <m/>
    <n v="1"/>
    <n v="531"/>
    <n v="1"/>
    <n v="531"/>
    <n v="1"/>
    <n v="531"/>
    <x v="0"/>
    <n v="0"/>
    <n v="0"/>
    <n v="0.3274999999999999"/>
    <n v="0"/>
    <n v="531"/>
    <n v="1"/>
    <n v="531"/>
    <m/>
    <n v="10"/>
    <n v="90"/>
    <n v="90"/>
    <n v="0"/>
    <x v="2"/>
    <x v="1"/>
    <n v="1"/>
    <n v="531"/>
    <n v="1"/>
    <n v="531"/>
    <n v="0"/>
    <n v="0"/>
    <n v="0"/>
    <n v="1"/>
    <n v="531"/>
    <n v="26.55"/>
    <n v="0"/>
    <s v="Not separated yet"/>
    <n v="0"/>
    <n v="0"/>
    <n v="5.68"/>
    <n v="0"/>
    <n v="0"/>
    <n v="0"/>
    <n v="0"/>
    <n v="5.68"/>
    <n v="0"/>
    <s v="Metta has a plan bathing space construction, no plan for hand washing space. Latrines have been provided at HH level"/>
    <d v="2015-04-08T00:00:00"/>
    <s v="Blanket Consumable only"/>
    <m/>
    <d v="2016-04-07T00:00:00"/>
    <n v="105"/>
    <n v="6"/>
    <n v="0"/>
    <n v="1"/>
    <n v="531"/>
    <n v="4"/>
    <m/>
    <n v="0"/>
    <n v="0"/>
    <n v="0"/>
    <s v="No coverage"/>
    <n v="0"/>
    <x v="0"/>
    <m/>
  </r>
  <r>
    <x v="5"/>
    <s v="MMR015CMP019"/>
    <x v="3"/>
    <x v="52"/>
    <n v="97.837040000000002"/>
    <n v="23.38503"/>
    <x v="0"/>
    <x v="0"/>
    <x v="2"/>
    <x v="3"/>
    <n v="188"/>
    <n v="909"/>
    <n v="909"/>
    <n v="909"/>
    <x v="0"/>
    <s v="HIDA/WHH/UNICEF"/>
    <s v="KBC"/>
    <x v="1"/>
    <x v="0"/>
    <d v="2016-05-31T00:00:00"/>
    <s v="Focal NGO"/>
    <x v="0"/>
    <n v="0"/>
    <n v="0"/>
    <s v="No"/>
    <s v="No"/>
    <n v="0"/>
    <n v="0"/>
    <n v="17000"/>
    <n v="1"/>
    <n v="0"/>
    <m/>
    <n v="1"/>
    <n v="909"/>
    <n v="1"/>
    <n v="909"/>
    <n v="1"/>
    <n v="909"/>
    <x v="0"/>
    <n v="0"/>
    <n v="0"/>
    <n v="2.2725"/>
    <n v="0"/>
    <n v="909"/>
    <n v="1"/>
    <n v="909"/>
    <s v="Metta is ongoing mataining the existing GFS "/>
    <n v="138"/>
    <n v="81"/>
    <n v="81"/>
    <n v="0"/>
    <x v="2"/>
    <x v="0"/>
    <n v="1"/>
    <n v="909"/>
    <n v="1"/>
    <n v="909"/>
    <n v="0"/>
    <n v="0"/>
    <n v="3"/>
    <n v="1"/>
    <n v="909"/>
    <n v="48.45"/>
    <n v="0"/>
    <s v="Not separated yet"/>
    <n v="0"/>
    <n v="0"/>
    <n v="9.09"/>
    <n v="1"/>
    <n v="909"/>
    <n v="1"/>
    <n v="0.11001100110011001"/>
    <n v="8.09"/>
    <n v="0.12"/>
    <s v="MDCG supported WASH-Shelter as HH level (no need to construct semi-parmanent)/ bathing space was ongoing activities by Metta"/>
    <d v="2015-05-01T00:00:00"/>
    <s v="Blanket Consumable only"/>
    <m/>
    <d v="2016-04-30T00:00:00"/>
    <n v="178"/>
    <n v="8"/>
    <n v="10"/>
    <n v="0.94680851063829785"/>
    <n v="860.64893617021278"/>
    <n v="1"/>
    <s v="last refill HK distributed was in July 15 and it covered 3 months"/>
    <n v="0"/>
    <n v="0"/>
    <n v="1"/>
    <s v="Average coverage"/>
    <n v="0"/>
    <x v="0"/>
    <m/>
  </r>
  <r>
    <x v="6"/>
    <s v="MMR001CMP129"/>
    <x v="4"/>
    <x v="53"/>
    <n v="97.609832999999995"/>
    <n v="24.002433"/>
    <x v="0"/>
    <x v="1"/>
    <x v="2"/>
    <x v="0"/>
    <n v="174"/>
    <n v="1185"/>
    <n v="742"/>
    <n v="742"/>
    <x v="0"/>
    <s v="OFDA / UNICEF"/>
    <s v="KMSS"/>
    <x v="5"/>
    <x v="0"/>
    <d v="2016-08-31T00:00:00"/>
    <s v="Focal NGO"/>
    <x v="0"/>
    <n v="0"/>
    <n v="0"/>
    <s v="No"/>
    <s v="No"/>
    <n v="2"/>
    <n v="0"/>
    <n v="81090"/>
    <n v="0"/>
    <n v="0.95"/>
    <s v="Water Filter Made in China"/>
    <n v="1"/>
    <n v="742"/>
    <n v="1"/>
    <n v="742"/>
    <n v="1"/>
    <n v="742"/>
    <x v="0"/>
    <n v="0"/>
    <n v="0"/>
    <n v="0"/>
    <n v="165.29999999999998"/>
    <n v="0"/>
    <n v="1"/>
    <n v="742"/>
    <m/>
    <n v="0"/>
    <n v="42"/>
    <m/>
    <n v="14"/>
    <x v="0"/>
    <x v="3"/>
    <n v="1"/>
    <n v="742"/>
    <n v="0.62264150943396224"/>
    <n v="462"/>
    <n v="0.37735849056603776"/>
    <n v="280"/>
    <n v="0"/>
    <n v="1"/>
    <n v="742"/>
    <n v="23.1"/>
    <n v="4"/>
    <s v="Not separated yet"/>
    <n v="0.53908355795148244"/>
    <n v="399.99999999999994"/>
    <n v="7.85"/>
    <n v="0.54"/>
    <n v="400.68"/>
    <n v="1"/>
    <n v="0.13477088948787061"/>
    <n v="10.85"/>
    <n v="0.13"/>
    <m/>
    <d v="2014-03-28T00:00:00"/>
    <s v="Blanket Consumable only"/>
    <n v="0"/>
    <s v="To be realised"/>
    <n v="166"/>
    <n v="3"/>
    <n v="174"/>
    <n v="0"/>
    <n v="0"/>
    <n v="19"/>
    <m/>
    <n v="1"/>
    <n v="742"/>
    <n v="7"/>
    <s v="Excellent coverage"/>
    <n v="0"/>
    <x v="2"/>
    <m/>
  </r>
  <r>
    <x v="6"/>
    <s v="MMR001CMP202"/>
    <x v="4"/>
    <x v="54"/>
    <n v="97.609832999999995"/>
    <n v="24.002433"/>
    <x v="0"/>
    <x v="1"/>
    <x v="2"/>
    <x v="0"/>
    <n v="219"/>
    <n v="891"/>
    <n v="878"/>
    <n v="878"/>
    <x v="0"/>
    <s v="OFDA / UNICEF"/>
    <s v="KMSS- Lashio"/>
    <x v="5"/>
    <x v="0"/>
    <d v="2016-08-31T00:00:00"/>
    <s v="Focal NGO"/>
    <x v="0"/>
    <n v="0"/>
    <n v="0"/>
    <s v="No"/>
    <s v="No"/>
    <n v="3"/>
    <n v="0"/>
    <n v="38340"/>
    <n v="0"/>
    <n v="0.45"/>
    <s v="Water Filter Made in China"/>
    <n v="1"/>
    <n v="878"/>
    <n v="1"/>
    <n v="878"/>
    <n v="1"/>
    <n v="878"/>
    <x v="0"/>
    <n v="0"/>
    <n v="0"/>
    <n v="0"/>
    <n v="98.55"/>
    <n v="0"/>
    <n v="1"/>
    <n v="878"/>
    <m/>
    <n v="15"/>
    <n v="21"/>
    <m/>
    <n v="31"/>
    <x v="1"/>
    <x v="3"/>
    <n v="1"/>
    <n v="878"/>
    <n v="0.29384965831435084"/>
    <n v="258.00000000000006"/>
    <n v="0.70615034168564916"/>
    <n v="620"/>
    <n v="0"/>
    <n v="1"/>
    <n v="878"/>
    <n v="12.899999999999999"/>
    <n v="3"/>
    <s v="Separate, clearly perceived"/>
    <n v="0.34168564920273348"/>
    <n v="300"/>
    <n v="5.91"/>
    <n v="0.34"/>
    <n v="298.52000000000004"/>
    <n v="3"/>
    <n v="0.34168564920273348"/>
    <n v="5.91"/>
    <n v="0.34"/>
    <m/>
    <d v="2014-12-23T00:00:00"/>
    <s v="Blanket Full HK only"/>
    <n v="0"/>
    <s v="To be realised"/>
    <n v="206"/>
    <n v="0"/>
    <n v="219"/>
    <n v="0"/>
    <n v="0"/>
    <n v="13"/>
    <m/>
    <n v="1"/>
    <n v="878"/>
    <n v="12"/>
    <s v="Excellent coverage"/>
    <n v="0"/>
    <x v="2"/>
    <m/>
  </r>
  <r>
    <x v="6"/>
    <s v="MMR001CMP129"/>
    <x v="4"/>
    <x v="55"/>
    <n v="97.602490000000003"/>
    <n v="24.000039999999998"/>
    <x v="0"/>
    <x v="1"/>
    <x v="2"/>
    <x v="0"/>
    <m/>
    <m/>
    <n v="201"/>
    <n v="201"/>
    <x v="1"/>
    <s v="OFDA / UNICEF"/>
    <m/>
    <x v="5"/>
    <x v="0"/>
    <d v="2016-08-31T00:00:00"/>
    <s v="Focal NGO"/>
    <x v="0"/>
    <n v="0"/>
    <n v="0"/>
    <s v="No"/>
    <s v="No"/>
    <n v="1"/>
    <n v="0"/>
    <n v="10000"/>
    <n v="0"/>
    <n v="0"/>
    <m/>
    <n v="1"/>
    <n v="201"/>
    <n v="1"/>
    <n v="201"/>
    <n v="1"/>
    <n v="201"/>
    <x v="0"/>
    <n v="0"/>
    <n v="0"/>
    <n v="0"/>
    <n v="0"/>
    <n v="0"/>
    <n v="1"/>
    <n v="201"/>
    <m/>
    <n v="0"/>
    <n v="0"/>
    <m/>
    <n v="20"/>
    <x v="0"/>
    <x v="3"/>
    <n v="1"/>
    <n v="201"/>
    <n v="0"/>
    <n v="0"/>
    <n v="1"/>
    <n v="201"/>
    <n v="0"/>
    <n v="1"/>
    <n v="201"/>
    <n v="0"/>
    <n v="4"/>
    <s v="Separate, clearly perceived"/>
    <n v="1"/>
    <n v="201"/>
    <n v="0"/>
    <n v="1"/>
    <n v="201"/>
    <n v="5"/>
    <n v="1"/>
    <n v="0"/>
    <n v="1"/>
    <s v="20 semi-permanent latrine were constructed by KBC"/>
    <d v="2015-04-13T00:00:00"/>
    <s v="Blanket Full HK only"/>
    <n v="0"/>
    <d v="2016-04-12T00:00:00"/>
    <n v="47"/>
    <n v="0"/>
    <n v="0"/>
    <n v="1"/>
    <n v="201"/>
    <n v="10"/>
    <m/>
    <n v="1"/>
    <n v="201"/>
    <n v="2"/>
    <s v="Excellent coverage"/>
    <n v="0"/>
    <x v="2"/>
    <m/>
  </r>
  <r>
    <x v="6"/>
    <s v="MMR001CMP230"/>
    <x v="5"/>
    <x v="56"/>
    <n v="97.590767"/>
    <n v="23.829599000000002"/>
    <x v="0"/>
    <x v="0"/>
    <x v="1"/>
    <x v="0"/>
    <n v="319"/>
    <n v="1567"/>
    <n v="493"/>
    <n v="493"/>
    <x v="3"/>
    <s v="UNICEF"/>
    <s v="KBC"/>
    <x v="6"/>
    <x v="0"/>
    <d v="2016-08-31T00:00:00"/>
    <s v="Focal NGO"/>
    <x v="0"/>
    <n v="0"/>
    <n v="0"/>
    <s v="No"/>
    <s v="No"/>
    <n v="3"/>
    <n v="0"/>
    <n v="20335"/>
    <n v="0.5"/>
    <n v="0.29487099999999999"/>
    <s v="Ceramic Water filter"/>
    <n v="1"/>
    <n v="493"/>
    <n v="1"/>
    <n v="493"/>
    <n v="1"/>
    <n v="493"/>
    <x v="0"/>
    <n v="0"/>
    <n v="0"/>
    <n v="0"/>
    <n v="94.063849000000005"/>
    <n v="246.5"/>
    <n v="1"/>
    <n v="493"/>
    <m/>
    <n v="64"/>
    <n v="0"/>
    <m/>
    <n v="12"/>
    <x v="0"/>
    <x v="1"/>
    <n v="0.48681541582150101"/>
    <n v="240"/>
    <n v="0"/>
    <n v="0"/>
    <n v="0.48681541582150101"/>
    <n v="240"/>
    <n v="0"/>
    <n v="1"/>
    <n v="493"/>
    <n v="12.649999999999999"/>
    <n v="2"/>
    <s v="Separate, but not clearly perceived"/>
    <n v="0.40567951318458417"/>
    <n v="200"/>
    <n v="13.67"/>
    <n v="0.86207"/>
    <n v="425.00051000000002"/>
    <n v="2"/>
    <n v="0.40567951318458417"/>
    <n v="13.67"/>
    <n v="1"/>
    <m/>
    <d v="2014-07-15T00:00:00"/>
    <s v="Blanket Consumable only"/>
    <n v="0"/>
    <s v="To be realised"/>
    <n v="153"/>
    <n v="10"/>
    <n v="319"/>
    <n v="0"/>
    <n v="0"/>
    <n v="9"/>
    <m/>
    <n v="0.75"/>
    <n v="369.75"/>
    <n v="0"/>
    <s v="No coverage"/>
    <n v="0"/>
    <x v="2"/>
    <m/>
  </r>
  <r>
    <x v="6"/>
    <s v="MMR001CMP128"/>
    <x v="4"/>
    <x v="57"/>
    <n v="97.625617000000005"/>
    <n v="24.056132999999999"/>
    <x v="0"/>
    <x v="1"/>
    <x v="2"/>
    <x v="0"/>
    <n v="541"/>
    <n v="2607"/>
    <n v="2561"/>
    <n v="2561"/>
    <x v="2"/>
    <s v="OFDA / UNICEF"/>
    <s v="KMSS"/>
    <x v="5"/>
    <x v="0"/>
    <d v="2016-08-31T00:00:00"/>
    <s v="Focal NGO"/>
    <x v="0"/>
    <n v="0"/>
    <n v="0"/>
    <s v="No"/>
    <s v="No"/>
    <n v="2"/>
    <n v="0"/>
    <n v="128565"/>
    <n v="0"/>
    <n v="0.5"/>
    <s v="Water Filter Made in China"/>
    <n v="1"/>
    <n v="2561"/>
    <n v="1"/>
    <n v="2561"/>
    <n v="1"/>
    <n v="2561"/>
    <x v="0"/>
    <n v="0"/>
    <n v="0"/>
    <n v="4.4024999999999999"/>
    <n v="270.5"/>
    <n v="0"/>
    <n v="1"/>
    <n v="2561"/>
    <m/>
    <n v="12"/>
    <n v="20"/>
    <m/>
    <n v="82"/>
    <x v="0"/>
    <x v="2"/>
    <n v="0.79656384224912147"/>
    <n v="2040"/>
    <n v="0.15618898867629838"/>
    <n v="400.00000000000017"/>
    <n v="0.64037485357282309"/>
    <n v="1640"/>
    <n v="1"/>
    <n v="0.8"/>
    <n v="2048.8000000000002"/>
    <n v="47.050000000000011"/>
    <n v="3"/>
    <s v="Not separated yet"/>
    <n v="0.11714174150722374"/>
    <n v="300"/>
    <n v="23.07"/>
    <n v="0.12"/>
    <n v="307.32"/>
    <n v="0"/>
    <n v="0"/>
    <n v="26.07"/>
    <n v="0"/>
    <m/>
    <d v="2014-12-23T00:00:00"/>
    <s v="Blanket Full HK only"/>
    <n v="0"/>
    <s v="To be realised"/>
    <n v="563"/>
    <n v="0"/>
    <n v="541"/>
    <n v="0"/>
    <n v="0"/>
    <n v="13"/>
    <m/>
    <n v="1"/>
    <n v="2561"/>
    <n v="23"/>
    <s v="Excellent coverage"/>
    <n v="0"/>
    <x v="2"/>
    <m/>
  </r>
  <r>
    <x v="6"/>
    <s v="MMR001CMP212"/>
    <x v="4"/>
    <x v="58"/>
    <n v="97.710989999999995"/>
    <n v="24.181640000000002"/>
    <x v="0"/>
    <x v="0"/>
    <x v="2"/>
    <x v="0"/>
    <n v="207"/>
    <n v="1141"/>
    <n v="1430"/>
    <n v="1430"/>
    <x v="0"/>
    <m/>
    <s v="KBC"/>
    <x v="2"/>
    <x v="1"/>
    <s v="Gap"/>
    <s v="Not documented"/>
    <x v="1"/>
    <n v="0"/>
    <n v="0"/>
    <s v="No"/>
    <s v="No"/>
    <n v="2"/>
    <n v="0"/>
    <n v="36000"/>
    <n v="0"/>
    <n v="0"/>
    <m/>
    <n v="1"/>
    <n v="1430"/>
    <n v="1"/>
    <n v="1430"/>
    <n v="1"/>
    <n v="1430"/>
    <x v="0"/>
    <n v="0"/>
    <n v="0"/>
    <n v="1.5750000000000002"/>
    <n v="0"/>
    <n v="0"/>
    <n v="1"/>
    <n v="1430"/>
    <m/>
    <n v="10"/>
    <n v="19"/>
    <m/>
    <n v="64"/>
    <x v="1"/>
    <x v="1"/>
    <n v="1"/>
    <n v="1430"/>
    <n v="0.1048951048951049"/>
    <n v="150"/>
    <n v="0.8951048951048951"/>
    <n v="1280"/>
    <n v="6"/>
    <n v="1"/>
    <n v="1430"/>
    <n v="13.5"/>
    <n v="5"/>
    <s v="Separate, clearly perceived"/>
    <n v="0.34965034965034963"/>
    <n v="500"/>
    <n v="6.41"/>
    <n v="0.35"/>
    <n v="500.49999999999994"/>
    <n v="32"/>
    <n v="1"/>
    <n v="0"/>
    <n v="1"/>
    <m/>
    <d v="2015-02-20T00:00:00"/>
    <s v="Associated with H.E as incentive"/>
    <n v="0.78"/>
    <s v="To be realised"/>
    <n v="298"/>
    <n v="9"/>
    <n v="207"/>
    <n v="0"/>
    <n v="0"/>
    <n v="2"/>
    <m/>
    <n v="0"/>
    <n v="0"/>
    <n v="2"/>
    <s v="Good coverage"/>
    <n v="0"/>
    <x v="0"/>
    <m/>
  </r>
  <r>
    <x v="6"/>
    <s v="MMR001CMP213"/>
    <x v="4"/>
    <x v="59"/>
    <n v="97.710989999999995"/>
    <n v="24.181640000000002"/>
    <x v="0"/>
    <x v="0"/>
    <x v="2"/>
    <x v="0"/>
    <n v="121"/>
    <n v="596"/>
    <n v="604"/>
    <n v="604"/>
    <x v="0"/>
    <m/>
    <s v="KMSS"/>
    <x v="2"/>
    <x v="1"/>
    <s v="Gap"/>
    <s v="Not documented"/>
    <x v="1"/>
    <n v="0"/>
    <n v="0"/>
    <s v="No"/>
    <s v="No"/>
    <n v="1"/>
    <n v="0"/>
    <n v="13500"/>
    <n v="0"/>
    <n v="0"/>
    <m/>
    <n v="1"/>
    <n v="604"/>
    <n v="1"/>
    <n v="604"/>
    <n v="1"/>
    <n v="604"/>
    <x v="0"/>
    <n v="0"/>
    <n v="0"/>
    <n v="0.51"/>
    <n v="0"/>
    <n v="0"/>
    <n v="1"/>
    <n v="604"/>
    <s v="45 gap fuel had supported, "/>
    <n v="74"/>
    <n v="9"/>
    <m/>
    <n v="32"/>
    <x v="1"/>
    <x v="2"/>
    <n v="1"/>
    <n v="604"/>
    <n v="0"/>
    <n v="0"/>
    <n v="1"/>
    <n v="604"/>
    <n v="0"/>
    <n v="1"/>
    <n v="604"/>
    <n v="0"/>
    <n v="4"/>
    <s v="Separate, clearly perceived"/>
    <n v="0.66225165562913912"/>
    <n v="400.00000000000006"/>
    <n v="1.96"/>
    <n v="0.67"/>
    <n v="404.68"/>
    <n v="17"/>
    <n v="1"/>
    <n v="0"/>
    <n v="1"/>
    <s v="5 emergency latrines ongoing constructing for new IDPs."/>
    <d v="2015-02-20T00:00:00"/>
    <s v="Blanket Full HK + consumable refilling"/>
    <n v="1"/>
    <s v="To be realised"/>
    <n v="135"/>
    <n v="9"/>
    <n v="121"/>
    <n v="0"/>
    <n v="0"/>
    <n v="2"/>
    <m/>
    <n v="0"/>
    <n v="0"/>
    <n v="1"/>
    <s v="Good coverage"/>
    <n v="0"/>
    <x v="0"/>
    <m/>
  </r>
  <r>
    <x v="6"/>
    <s v="MMR001CMP133"/>
    <x v="5"/>
    <x v="60"/>
    <n v="97.587900000000005"/>
    <n v="23.83"/>
    <x v="0"/>
    <x v="0"/>
    <x v="1"/>
    <x v="0"/>
    <n v="115"/>
    <n v="532"/>
    <n v="524"/>
    <n v="524"/>
    <x v="0"/>
    <s v="ECHO/Unicef"/>
    <s v="KBC"/>
    <x v="6"/>
    <x v="0"/>
    <d v="2016-08-31T00:00:00"/>
    <s v="Focal NGO"/>
    <x v="0"/>
    <n v="0"/>
    <n v="0"/>
    <s v="No"/>
    <s v="No"/>
    <n v="0"/>
    <n v="0"/>
    <n v="54000"/>
    <n v="1"/>
    <n v="0"/>
    <m/>
    <n v="1"/>
    <n v="524"/>
    <n v="1"/>
    <n v="524"/>
    <n v="1"/>
    <n v="524"/>
    <x v="0"/>
    <n v="0"/>
    <n v="0"/>
    <n v="1.31"/>
    <n v="0"/>
    <n v="524"/>
    <n v="1"/>
    <n v="524"/>
    <m/>
    <n v="113"/>
    <n v="0"/>
    <n v="0"/>
    <n v="12"/>
    <x v="3"/>
    <x v="3"/>
    <n v="0.4580152671755725"/>
    <n v="240"/>
    <n v="0"/>
    <n v="0"/>
    <n v="0.4580152671755725"/>
    <n v="240"/>
    <n v="0"/>
    <n v="0.6"/>
    <n v="314.39999999999998"/>
    <n v="14.2"/>
    <n v="2"/>
    <s v="Separate, but not clearly perceived"/>
    <n v="0.38167938931297712"/>
    <n v="200"/>
    <n v="3.3200000000000003"/>
    <n v="0.38"/>
    <n v="199.12"/>
    <n v="8"/>
    <n v="1"/>
    <n v="0"/>
    <n v="1"/>
    <s v="Four latrines are closded, no space to construct new latrine due to lack of space. Need to do desludging. "/>
    <d v="2014-12-10T00:00:00"/>
    <s v="Blanket Full HK + consumable refilling"/>
    <n v="0"/>
    <s v="To be realised"/>
    <n v="115"/>
    <n v="15"/>
    <n v="115"/>
    <n v="0"/>
    <n v="0"/>
    <n v="0"/>
    <m/>
    <n v="1"/>
    <n v="524"/>
    <n v="2"/>
    <s v="Excellent coverage"/>
    <n v="0"/>
    <x v="2"/>
    <m/>
  </r>
  <r>
    <x v="6"/>
    <s v="MMR001CMP132"/>
    <x v="5"/>
    <x v="61"/>
    <n v="97.596000000000004"/>
    <n v="23.831"/>
    <x v="0"/>
    <x v="0"/>
    <x v="1"/>
    <x v="0"/>
    <n v="486"/>
    <n v="2371"/>
    <n v="2136"/>
    <n v="2136"/>
    <x v="3"/>
    <s v="ECHO/Unicef"/>
    <s v="KMSS"/>
    <x v="6"/>
    <x v="0"/>
    <d v="2016-08-31T00:00:00"/>
    <s v="Focal NGO"/>
    <x v="0"/>
    <n v="0"/>
    <n v="0"/>
    <s v="No"/>
    <s v="No"/>
    <n v="3"/>
    <n v="0"/>
    <n v="165600"/>
    <n v="1"/>
    <n v="0"/>
    <m/>
    <n v="1"/>
    <n v="2136"/>
    <n v="1"/>
    <n v="2136"/>
    <n v="1"/>
    <n v="2136"/>
    <x v="0"/>
    <n v="0"/>
    <n v="0"/>
    <n v="2.34"/>
    <n v="0"/>
    <n v="2136"/>
    <n v="1"/>
    <n v="2136"/>
    <m/>
    <n v="0"/>
    <n v="31"/>
    <n v="0"/>
    <n v="83"/>
    <x v="0"/>
    <x v="3"/>
    <n v="1"/>
    <n v="2136"/>
    <n v="0.22284644194756553"/>
    <n v="476"/>
    <n v="0.77715355805243447"/>
    <n v="1660"/>
    <n v="18"/>
    <n v="1"/>
    <n v="2136"/>
    <n v="41.8"/>
    <n v="6"/>
    <s v="Not separated yet"/>
    <n v="0.2808988764044944"/>
    <n v="600"/>
    <n v="17.71"/>
    <n v="0.28000000000000003"/>
    <n v="598.08000000000004"/>
    <n v="4"/>
    <n v="0.18726591760299627"/>
    <n v="19.71"/>
    <n v="0.19"/>
    <s v="20 latrines are need to decomission, SCI will do desludging for 25 units of latrines"/>
    <d v="2014-12-10T00:00:00"/>
    <s v="Blanket Full HK + consumable refilling"/>
    <n v="0"/>
    <s v="To be realised"/>
    <n v="477"/>
    <n v="12"/>
    <n v="486"/>
    <n v="0"/>
    <n v="0"/>
    <n v="2"/>
    <m/>
    <n v="1"/>
    <n v="2136"/>
    <n v="8"/>
    <s v="Excellent coverage"/>
    <n v="0"/>
    <x v="0"/>
    <m/>
  </r>
  <r>
    <x v="6"/>
    <m/>
    <x v="5"/>
    <x v="62"/>
    <m/>
    <m/>
    <x v="2"/>
    <x v="0"/>
    <x v="2"/>
    <x v="2"/>
    <m/>
    <m/>
    <n v="1443"/>
    <n v="1443"/>
    <x v="1"/>
    <s v="UNICEF"/>
    <m/>
    <x v="1"/>
    <x v="0"/>
    <d v="2016-05-31T00:00:00"/>
    <s v="Focal NGO"/>
    <x v="0"/>
    <n v="0"/>
    <n v="0"/>
    <s v="No"/>
    <s v="No"/>
    <n v="0"/>
    <n v="0"/>
    <n v="0"/>
    <n v="0"/>
    <n v="0"/>
    <m/>
    <n v="0"/>
    <n v="0"/>
    <n v="0"/>
    <n v="0"/>
    <n v="0"/>
    <n v="0"/>
    <x v="1"/>
    <n v="0"/>
    <n v="0"/>
    <n v="3.6074999999999999"/>
    <n v="0"/>
    <n v="0"/>
    <n v="1"/>
    <n v="1443"/>
    <m/>
    <n v="0"/>
    <n v="0"/>
    <n v="0"/>
    <n v="0"/>
    <x v="1"/>
    <x v="4"/>
    <n v="0"/>
    <n v="0"/>
    <n v="0"/>
    <n v="0"/>
    <n v="0"/>
    <n v="0"/>
    <n v="0"/>
    <n v="0"/>
    <n v="0"/>
    <n v="72.150000000000006"/>
    <n v="0"/>
    <m/>
    <n v="0"/>
    <n v="0"/>
    <n v="0"/>
    <n v="0"/>
    <n v="0"/>
    <n v="0"/>
    <n v="0"/>
    <n v="0"/>
    <n v="1"/>
    <m/>
    <m/>
    <m/>
    <m/>
    <s v="To be realised"/>
    <m/>
    <m/>
    <n v="0"/>
    <n v="1"/>
    <n v="1443"/>
    <s v="Column BN to be completed"/>
    <m/>
    <n v="0"/>
    <n v="0"/>
    <m/>
    <s v="No coverage"/>
    <n v="0"/>
    <x v="3"/>
    <m/>
  </r>
  <r>
    <x v="6"/>
    <s v="MMR001CMP134"/>
    <x v="5"/>
    <x v="63"/>
    <n v="97.588291999999996"/>
    <n v="23.827870999999998"/>
    <x v="1"/>
    <x v="0"/>
    <x v="1"/>
    <x v="1"/>
    <n v="183"/>
    <n v="741"/>
    <m/>
    <n v="741"/>
    <x v="0"/>
    <m/>
    <m/>
    <x v="2"/>
    <x v="1"/>
    <s v="Gap"/>
    <s v="Not documented"/>
    <x v="1"/>
    <n v="0"/>
    <n v="0"/>
    <s v="No"/>
    <s v="No"/>
    <n v="0"/>
    <n v="0"/>
    <n v="0"/>
    <n v="0"/>
    <n v="0"/>
    <m/>
    <n v="0"/>
    <n v="0"/>
    <n v="0"/>
    <n v="0"/>
    <n v="0"/>
    <n v="0"/>
    <x v="1"/>
    <n v="0"/>
    <n v="0"/>
    <n v="1.8525"/>
    <n v="0"/>
    <n v="0"/>
    <n v="0"/>
    <n v="0"/>
    <m/>
    <n v="49"/>
    <n v="0"/>
    <m/>
    <n v="0"/>
    <x v="1"/>
    <x v="0"/>
    <n v="0"/>
    <n v="0"/>
    <n v="0"/>
    <n v="0"/>
    <n v="0"/>
    <n v="0"/>
    <n v="0"/>
    <n v="0"/>
    <n v="0"/>
    <n v="37.049999999999997"/>
    <n v="0"/>
    <s v="Not separated yet"/>
    <n v="0"/>
    <n v="0"/>
    <n v="7.41"/>
    <n v="0"/>
    <n v="0"/>
    <n v="0"/>
    <n v="0"/>
    <n v="7.41"/>
    <n v="0"/>
    <m/>
    <m/>
    <m/>
    <m/>
    <s v="To be realised"/>
    <m/>
    <m/>
    <n v="183"/>
    <n v="0"/>
    <n v="0"/>
    <s v="Column BN to be completed"/>
    <m/>
    <n v="0"/>
    <n v="0"/>
    <n v="2"/>
    <s v="Excellent coverage"/>
    <n v="0"/>
    <x v="0"/>
    <m/>
  </r>
  <r>
    <x v="6"/>
    <s v="MMR001CMP066"/>
    <x v="0"/>
    <x v="64"/>
    <n v="97.291820000000001"/>
    <n v="24.129059999999999"/>
    <x v="0"/>
    <x v="0"/>
    <x v="0"/>
    <x v="0"/>
    <n v="135"/>
    <n v="672"/>
    <n v="706"/>
    <n v="706"/>
    <x v="0"/>
    <s v="HIDA, WHH,USAID,UNICEF"/>
    <s v="KBC"/>
    <x v="1"/>
    <x v="0"/>
    <d v="2016-05-31T00:00:00"/>
    <s v="Focal NGO"/>
    <x v="0"/>
    <n v="0"/>
    <n v="0"/>
    <s v="No"/>
    <s v="No"/>
    <n v="3"/>
    <n v="0"/>
    <n v="20335"/>
    <n v="0.5"/>
    <n v="0.29487099999999999"/>
    <s v="Ceramic Water filter"/>
    <n v="1"/>
    <n v="706"/>
    <n v="1"/>
    <n v="706"/>
    <n v="1"/>
    <n v="706"/>
    <x v="0"/>
    <n v="0"/>
    <n v="0"/>
    <n v="0"/>
    <n v="39.807584999999996"/>
    <n v="353"/>
    <n v="1"/>
    <n v="706"/>
    <m/>
    <n v="12"/>
    <n v="10"/>
    <m/>
    <n v="27"/>
    <x v="0"/>
    <x v="1"/>
    <n v="1"/>
    <n v="706"/>
    <n v="0.23512747875354112"/>
    <n v="166.00000000000003"/>
    <n v="0.76487252124645888"/>
    <n v="540"/>
    <n v="0"/>
    <n v="1"/>
    <n v="706"/>
    <n v="8.2999999999999972"/>
    <n v="8"/>
    <s v="Separate, but not clearly perceived"/>
    <n v="1"/>
    <n v="706"/>
    <n v="0"/>
    <n v="1"/>
    <n v="706"/>
    <n v="10"/>
    <n v="1"/>
    <n v="0"/>
    <n v="1"/>
    <m/>
    <d v="2014-07-15T00:00:00"/>
    <s v="Blanket Consumable only"/>
    <n v="0"/>
    <s v="To be realised"/>
    <n v="153"/>
    <n v="10"/>
    <n v="135"/>
    <n v="0"/>
    <n v="0"/>
    <n v="9"/>
    <m/>
    <n v="0.75"/>
    <n v="529.5"/>
    <n v="2"/>
    <s v="Excellent coverage"/>
    <n v="0"/>
    <x v="2"/>
    <m/>
  </r>
  <r>
    <x v="6"/>
    <s v="MMR001CMP196"/>
    <x v="0"/>
    <x v="65"/>
    <n v="97.291820000000001"/>
    <n v="24.129059999999999"/>
    <x v="1"/>
    <x v="0"/>
    <x v="2"/>
    <x v="1"/>
    <n v="76"/>
    <n v="256"/>
    <n v="499"/>
    <n v="499"/>
    <x v="0"/>
    <m/>
    <s v="KBC"/>
    <x v="2"/>
    <x v="1"/>
    <s v="Gap"/>
    <s v="Not documented"/>
    <x v="1"/>
    <n v="0"/>
    <n v="0"/>
    <s v="No"/>
    <s v="No"/>
    <n v="0"/>
    <n v="0"/>
    <n v="0"/>
    <n v="0"/>
    <n v="0"/>
    <m/>
    <n v="0"/>
    <n v="0"/>
    <n v="0"/>
    <n v="0"/>
    <n v="0"/>
    <n v="0"/>
    <x v="1"/>
    <n v="0"/>
    <n v="0"/>
    <n v="1.2475000000000001"/>
    <n v="0"/>
    <n v="0"/>
    <n v="0"/>
    <n v="0"/>
    <s v="these IDPs are using nearest water sources "/>
    <n v="9"/>
    <n v="0"/>
    <n v="0"/>
    <n v="0"/>
    <x v="0"/>
    <x v="1"/>
    <n v="0"/>
    <n v="0"/>
    <n v="0"/>
    <n v="0"/>
    <n v="0"/>
    <n v="0"/>
    <n v="0"/>
    <n v="0"/>
    <m/>
    <m/>
    <n v="0"/>
    <s v="Not separated yet"/>
    <n v="0"/>
    <n v="0"/>
    <n v="2.56"/>
    <n v="0"/>
    <n v="0"/>
    <n v="0"/>
    <n v="0"/>
    <n v="2.56"/>
    <n v="0"/>
    <m/>
    <d v="2014-04-15T00:00:00"/>
    <s v="No more HK distribution"/>
    <n v="0"/>
    <s v="To be realised"/>
    <n v="20"/>
    <n v="0"/>
    <n v="76"/>
    <n v="0"/>
    <n v="0"/>
    <n v="22"/>
    <m/>
    <n v="0"/>
    <m/>
    <n v="3"/>
    <s v="Excellent coverage"/>
    <n v="0"/>
    <x v="1"/>
    <m/>
  </r>
  <r>
    <x v="6"/>
    <s v="MMR001CMP228"/>
    <x v="5"/>
    <x v="66"/>
    <n v="97.577347000000003"/>
    <n v="23.836462999999998"/>
    <x v="0"/>
    <x v="0"/>
    <x v="1"/>
    <x v="0"/>
    <n v="115"/>
    <n v="502"/>
    <n v="528"/>
    <n v="553"/>
    <x v="0"/>
    <s v="ECHO/Unicef"/>
    <s v="KMSS"/>
    <x v="6"/>
    <x v="0"/>
    <d v="2016-08-31T00:00:00"/>
    <s v="Focal NGO"/>
    <x v="0"/>
    <n v="0"/>
    <n v="0"/>
    <s v="No"/>
    <s v="No"/>
    <n v="0"/>
    <n v="0"/>
    <n v="27000"/>
    <n v="1"/>
    <n v="0"/>
    <m/>
    <n v="1"/>
    <n v="553"/>
    <n v="1"/>
    <n v="553"/>
    <n v="1"/>
    <n v="553"/>
    <x v="0"/>
    <n v="0"/>
    <n v="0"/>
    <n v="1.3825000000000001"/>
    <n v="0"/>
    <n v="553"/>
    <n v="1"/>
    <n v="553"/>
    <m/>
    <n v="4"/>
    <n v="16"/>
    <m/>
    <m/>
    <x v="2"/>
    <x v="3"/>
    <n v="0.57866184448462932"/>
    <n v="320"/>
    <n v="0.57866184448462932"/>
    <n v="320"/>
    <n v="0"/>
    <n v="0"/>
    <n v="0"/>
    <n v="0.87"/>
    <n v="481.11"/>
    <n v="27.65"/>
    <n v="2"/>
    <s v="Separate, clearly perceived"/>
    <n v="0.36166365280289331"/>
    <n v="200"/>
    <n v="3.0199999999999996"/>
    <n v="0.36"/>
    <n v="199.07999999999998"/>
    <n v="3"/>
    <n v="0.54249547920433994"/>
    <n v="2.0199999999999996"/>
    <n v="0.54"/>
    <s v="SCI done desludging for 4 units"/>
    <d v="2015-05-19T00:00:00"/>
    <s v="Blanket Full HK + consumable refilling"/>
    <n v="0"/>
    <d v="2016-05-18T00:00:00"/>
    <n v="121"/>
    <n v="12"/>
    <n v="0"/>
    <n v="1"/>
    <n v="553"/>
    <n v="0"/>
    <m/>
    <n v="1"/>
    <n v="553"/>
    <n v="0"/>
    <s v="No coverage"/>
    <n v="0"/>
    <x v="2"/>
    <m/>
  </r>
  <r>
    <x v="7"/>
    <s v="MMR015CMP009"/>
    <x v="6"/>
    <x v="67"/>
    <n v="97.127340000000004"/>
    <n v="23.24954"/>
    <x v="0"/>
    <x v="0"/>
    <x v="2"/>
    <x v="0"/>
    <n v="37"/>
    <n v="164"/>
    <n v="139"/>
    <n v="139"/>
    <x v="1"/>
    <s v="HIDA/WHH/UNICEF"/>
    <s v="KBC"/>
    <x v="1"/>
    <x v="0"/>
    <d v="2016-05-31T00:00:00"/>
    <s v="Focal NGO"/>
    <x v="0"/>
    <n v="0"/>
    <n v="0"/>
    <s v="No"/>
    <s v="No"/>
    <n v="0"/>
    <n v="0"/>
    <n v="7000"/>
    <n v="1"/>
    <n v="0"/>
    <m/>
    <n v="1"/>
    <n v="139"/>
    <n v="1"/>
    <n v="139"/>
    <n v="1"/>
    <n v="139"/>
    <x v="0"/>
    <n v="0"/>
    <n v="0"/>
    <n v="0.34749999999999998"/>
    <n v="0"/>
    <n v="139"/>
    <n v="1"/>
    <n v="139"/>
    <m/>
    <n v="11"/>
    <n v="18"/>
    <m/>
    <n v="0"/>
    <x v="2"/>
    <x v="1"/>
    <n v="1"/>
    <n v="139"/>
    <n v="1"/>
    <n v="139"/>
    <n v="0"/>
    <n v="0"/>
    <n v="2"/>
    <n v="1"/>
    <n v="139"/>
    <n v="8.9499999999999993"/>
    <n v="5"/>
    <s v="Not separated yet"/>
    <n v="1"/>
    <n v="139"/>
    <n v="0"/>
    <n v="1"/>
    <n v="139"/>
    <n v="1"/>
    <n v="0.71942446043165464"/>
    <n v="0.6399999999999999"/>
    <n v="0.8"/>
    <m/>
    <d v="2015-05-01T00:00:00"/>
    <s v="Blanket Consumable only"/>
    <m/>
    <d v="2016-04-30T00:00:00"/>
    <n v="38"/>
    <n v="8"/>
    <n v="0"/>
    <n v="1"/>
    <n v="139"/>
    <n v="1"/>
    <m/>
    <n v="0"/>
    <n v="0"/>
    <n v="2"/>
    <s v="Excellent coverage"/>
    <n v="0"/>
    <x v="0"/>
    <m/>
  </r>
  <r>
    <x v="7"/>
    <s v="MMR015CMP209"/>
    <x v="6"/>
    <x v="68"/>
    <n v="97.123440000000002"/>
    <n v="23.24568"/>
    <x v="0"/>
    <x v="0"/>
    <x v="2"/>
    <x v="0"/>
    <n v="31"/>
    <n v="191"/>
    <n v="183"/>
    <n v="183"/>
    <x v="1"/>
    <s v="DFID"/>
    <s v="KMSS"/>
    <x v="2"/>
    <x v="1"/>
    <s v="Gap"/>
    <s v="Not documented"/>
    <x v="1"/>
    <n v="0"/>
    <n v="0"/>
    <s v="No"/>
    <s v="No"/>
    <n v="0"/>
    <n v="0"/>
    <n v="28800"/>
    <n v="0.8"/>
    <n v="1"/>
    <m/>
    <n v="1"/>
    <n v="183"/>
    <n v="1"/>
    <n v="183"/>
    <n v="1"/>
    <n v="183"/>
    <x v="0"/>
    <n v="0"/>
    <n v="0"/>
    <n v="0.45750000000000002"/>
    <n v="31"/>
    <n v="146.4"/>
    <n v="1"/>
    <n v="183"/>
    <m/>
    <n v="62"/>
    <n v="6"/>
    <m/>
    <n v="4"/>
    <x v="2"/>
    <x v="0"/>
    <n v="1"/>
    <n v="183"/>
    <n v="0.56284153005464477"/>
    <n v="102.99999999999999"/>
    <n v="0.43715846994535518"/>
    <n v="80"/>
    <n v="2"/>
    <n v="1"/>
    <n v="183"/>
    <n v="7.15"/>
    <n v="2"/>
    <s v="Separate, clearly perceived"/>
    <n v="1"/>
    <n v="183"/>
    <n v="0"/>
    <n v="1"/>
    <n v="183"/>
    <n v="0"/>
    <n v="0"/>
    <n v="1.91"/>
    <n v="0"/>
    <s v="no plan for hand washing space"/>
    <d v="2012-10-01T00:00:00"/>
    <s v="Targetted Consumable only"/>
    <n v="0"/>
    <s v="To be realised"/>
    <n v="31"/>
    <n v="3"/>
    <n v="31"/>
    <n v="0"/>
    <n v="0"/>
    <n v="38"/>
    <m/>
    <n v="0"/>
    <n v="0"/>
    <n v="2"/>
    <s v="Excellent coverage"/>
    <n v="0"/>
    <x v="2"/>
    <m/>
  </r>
  <r>
    <x v="8"/>
    <s v="MMR001CMP078"/>
    <x v="7"/>
    <x v="69"/>
    <n v="96.922619999999995"/>
    <n v="25.305669999999999"/>
    <x v="0"/>
    <x v="0"/>
    <x v="0"/>
    <x v="0"/>
    <n v="12"/>
    <n v="47"/>
    <n v="50"/>
    <n v="50"/>
    <x v="1"/>
    <s v="CIDA"/>
    <s v="KBC"/>
    <x v="2"/>
    <x v="1"/>
    <s v="Gap"/>
    <s v="Not documented"/>
    <x v="1"/>
    <n v="0"/>
    <n v="0"/>
    <s v="No"/>
    <s v="No"/>
    <n v="0"/>
    <n v="2"/>
    <n v="3600"/>
    <n v="0"/>
    <n v="1"/>
    <s v="Ceramic Water filter"/>
    <n v="1"/>
    <n v="50"/>
    <n v="1"/>
    <n v="50"/>
    <n v="1"/>
    <n v="50"/>
    <x v="0"/>
    <n v="0"/>
    <n v="0"/>
    <n v="0"/>
    <n v="12"/>
    <n v="0"/>
    <n v="1"/>
    <n v="50"/>
    <m/>
    <n v="70"/>
    <n v="2"/>
    <m/>
    <n v="0"/>
    <x v="2"/>
    <x v="3"/>
    <n v="0.8"/>
    <n v="40"/>
    <n v="0.8"/>
    <n v="40"/>
    <n v="0"/>
    <n v="0"/>
    <n v="0"/>
    <n v="0.8"/>
    <n v="40"/>
    <n v="2.5"/>
    <n v="2"/>
    <s v="Separate, clearly perceived"/>
    <n v="1"/>
    <n v="50"/>
    <n v="0"/>
    <n v="1"/>
    <n v="50"/>
    <n v="2"/>
    <n v="1"/>
    <n v="0"/>
    <n v="1"/>
    <s v="old 6 Hand washing were already out of used."/>
    <d v="2015-06-18T00:00:00"/>
    <s v="Blanket Consumable only"/>
    <m/>
    <d v="2016-06-17T00:00:00"/>
    <n v="17"/>
    <n v="0"/>
    <n v="0"/>
    <n v="1"/>
    <n v="50"/>
    <n v="8"/>
    <m/>
    <n v="0"/>
    <n v="0"/>
    <n v="0"/>
    <s v="No coverage"/>
    <n v="0"/>
    <x v="2"/>
    <s v="previous, oxfam had constructed 6 temporary incinerator but those were out of used now. "/>
  </r>
  <r>
    <x v="8"/>
    <s v="MMR001CMP237"/>
    <x v="7"/>
    <x v="70"/>
    <n v="96.94135"/>
    <n v="25.294460000000001"/>
    <x v="0"/>
    <x v="0"/>
    <x v="1"/>
    <x v="0"/>
    <n v="9"/>
    <n v="39"/>
    <n v="23"/>
    <n v="23"/>
    <x v="1"/>
    <m/>
    <s v="KMSS"/>
    <x v="2"/>
    <x v="1"/>
    <s v="Gap"/>
    <s v="Not documented"/>
    <x v="1"/>
    <n v="0"/>
    <n v="0"/>
    <s v="No"/>
    <s v="No"/>
    <n v="0"/>
    <n v="1"/>
    <n v="0"/>
    <n v="0"/>
    <n v="0"/>
    <m/>
    <n v="1"/>
    <n v="23"/>
    <n v="1"/>
    <n v="23"/>
    <n v="1"/>
    <n v="23"/>
    <x v="0"/>
    <n v="0"/>
    <n v="0"/>
    <n v="0"/>
    <n v="0"/>
    <n v="0"/>
    <n v="1"/>
    <n v="23"/>
    <m/>
    <n v="0"/>
    <n v="0"/>
    <m/>
    <n v="4"/>
    <x v="2"/>
    <x v="0"/>
    <n v="1"/>
    <n v="23"/>
    <n v="0"/>
    <n v="0"/>
    <n v="1"/>
    <n v="23"/>
    <n v="0"/>
    <n v="1"/>
    <n v="23"/>
    <n v="0"/>
    <n v="0"/>
    <s v="Not separated yet"/>
    <n v="0"/>
    <n v="0"/>
    <n v="0.39"/>
    <n v="0"/>
    <n v="0"/>
    <n v="0"/>
    <n v="0"/>
    <n v="0.39"/>
    <n v="0"/>
    <s v="current 2 emergency latrines are funitioned but not safe, it need to upgrade to semi-permannent"/>
    <m/>
    <s v="Targetted Consumable only"/>
    <n v="0"/>
    <s v="To be realised"/>
    <n v="0"/>
    <n v="0"/>
    <n v="9"/>
    <n v="0"/>
    <n v="0"/>
    <s v="Column BN to be completed"/>
    <m/>
    <n v="0"/>
    <n v="0"/>
    <n v="2"/>
    <s v="Excellent coverage"/>
    <n v="0"/>
    <x v="2"/>
    <m/>
  </r>
  <r>
    <x v="8"/>
    <s v="MMR001CMP077"/>
    <x v="7"/>
    <x v="71"/>
    <n v="96.942279999999997"/>
    <n v="25.296579999999999"/>
    <x v="0"/>
    <x v="0"/>
    <x v="1"/>
    <x v="0"/>
    <n v="18"/>
    <n v="78"/>
    <n v="56"/>
    <n v="56"/>
    <x v="1"/>
    <s v="CIDA"/>
    <s v="KBC"/>
    <x v="2"/>
    <x v="1"/>
    <s v="Gap"/>
    <s v="Not documented"/>
    <x v="1"/>
    <n v="0"/>
    <n v="0"/>
    <s v="No"/>
    <s v="No"/>
    <n v="0"/>
    <n v="2"/>
    <n v="3600"/>
    <n v="0"/>
    <n v="1"/>
    <s v="Ceramic Water filter"/>
    <n v="1"/>
    <n v="56"/>
    <n v="1"/>
    <n v="56"/>
    <n v="1"/>
    <n v="56"/>
    <x v="0"/>
    <n v="0"/>
    <n v="0"/>
    <n v="0"/>
    <n v="18"/>
    <n v="0"/>
    <n v="1"/>
    <n v="56"/>
    <m/>
    <n v="0"/>
    <n v="0"/>
    <m/>
    <n v="3"/>
    <x v="2"/>
    <x v="0"/>
    <n v="1"/>
    <n v="56"/>
    <n v="0"/>
    <n v="0"/>
    <n v="1"/>
    <n v="56"/>
    <n v="0"/>
    <n v="1"/>
    <n v="56"/>
    <n v="0"/>
    <n v="2"/>
    <s v="Not separated yet"/>
    <n v="1"/>
    <n v="56"/>
    <n v="0"/>
    <n v="1"/>
    <n v="56"/>
    <n v="0"/>
    <n v="0"/>
    <n v="0.78"/>
    <n v="0"/>
    <s v="old 3 Hand washing were already out of used."/>
    <d v="2015-06-18T00:00:00"/>
    <s v="Blanket Consumable only"/>
    <m/>
    <d v="2016-06-17T00:00:00"/>
    <n v="12"/>
    <n v="0"/>
    <n v="6"/>
    <n v="0.66666666666666663"/>
    <n v="37.333333333333329"/>
    <n v="8"/>
    <m/>
    <n v="0"/>
    <n v="0"/>
    <n v="2"/>
    <s v="Excellent coverage"/>
    <n v="0"/>
    <x v="2"/>
    <m/>
  </r>
  <r>
    <x v="8"/>
    <s v="MMR001CMP079"/>
    <x v="7"/>
    <x v="72"/>
    <n v="96.948740000000001"/>
    <n v="25.30442"/>
    <x v="0"/>
    <x v="0"/>
    <x v="0"/>
    <x v="0"/>
    <n v="14"/>
    <n v="44"/>
    <n v="36"/>
    <n v="36"/>
    <x v="1"/>
    <s v="CIDA"/>
    <s v="KBC"/>
    <x v="2"/>
    <x v="1"/>
    <s v="Gap"/>
    <s v="Not documented"/>
    <x v="1"/>
    <n v="0"/>
    <n v="0"/>
    <s v="No"/>
    <s v="No"/>
    <n v="1"/>
    <n v="2"/>
    <n v="3600"/>
    <n v="0"/>
    <n v="1"/>
    <s v="Ceramic Water filter"/>
    <n v="1"/>
    <n v="36"/>
    <n v="1"/>
    <n v="36"/>
    <n v="1"/>
    <n v="36"/>
    <x v="0"/>
    <n v="0"/>
    <n v="0"/>
    <n v="0"/>
    <n v="14"/>
    <n v="0"/>
    <n v="1"/>
    <n v="36"/>
    <m/>
    <n v="0"/>
    <n v="0"/>
    <m/>
    <n v="3"/>
    <x v="2"/>
    <x v="3"/>
    <n v="1"/>
    <n v="36"/>
    <n v="0"/>
    <n v="0"/>
    <n v="1"/>
    <n v="36"/>
    <n v="0"/>
    <n v="1"/>
    <n v="36"/>
    <n v="0"/>
    <n v="2"/>
    <s v="Separate, clearly perceived"/>
    <n v="1"/>
    <n v="36"/>
    <n v="0"/>
    <n v="1"/>
    <n v="36"/>
    <n v="1"/>
    <n v="1"/>
    <n v="0"/>
    <n v="1"/>
    <m/>
    <d v="2015-06-18T00:00:00"/>
    <s v="Blanket Consumable only"/>
    <m/>
    <d v="2016-06-17T00:00:00"/>
    <n v="15"/>
    <n v="0"/>
    <n v="0"/>
    <n v="1"/>
    <n v="36"/>
    <n v="8"/>
    <m/>
    <n v="0"/>
    <n v="0"/>
    <n v="1"/>
    <s v="Excellent coverage"/>
    <n v="0"/>
    <x v="2"/>
    <m/>
  </r>
  <r>
    <x v="8"/>
    <s v="MMR001CMP236"/>
    <x v="7"/>
    <x v="73"/>
    <m/>
    <m/>
    <x v="0"/>
    <x v="0"/>
    <x v="2"/>
    <x v="0"/>
    <n v="20"/>
    <n v="82"/>
    <n v="82"/>
    <n v="82"/>
    <x v="1"/>
    <s v="CIDA"/>
    <m/>
    <x v="2"/>
    <x v="1"/>
    <s v="Gap"/>
    <s v="Not documented"/>
    <x v="1"/>
    <n v="0"/>
    <n v="0"/>
    <s v="No"/>
    <s v="No"/>
    <n v="1"/>
    <n v="1"/>
    <n v="4000"/>
    <n v="0"/>
    <n v="0"/>
    <m/>
    <n v="1"/>
    <n v="82"/>
    <n v="1"/>
    <n v="82"/>
    <n v="1"/>
    <n v="82"/>
    <x v="0"/>
    <n v="0"/>
    <n v="0"/>
    <n v="0"/>
    <n v="0"/>
    <n v="0"/>
    <n v="1"/>
    <n v="82"/>
    <m/>
    <n v="4"/>
    <n v="0"/>
    <m/>
    <n v="8"/>
    <x v="2"/>
    <x v="1"/>
    <n v="1"/>
    <n v="82"/>
    <n v="0"/>
    <n v="0"/>
    <n v="1"/>
    <n v="82"/>
    <n v="0"/>
    <n v="1"/>
    <n v="82"/>
    <n v="0"/>
    <n v="2"/>
    <s v="Separate, but not clearly perceived"/>
    <n v="1"/>
    <n v="82"/>
    <n v="0"/>
    <n v="1"/>
    <n v="82"/>
    <n v="0"/>
    <n v="0"/>
    <n v="0.82"/>
    <n v="0"/>
    <m/>
    <m/>
    <m/>
    <m/>
    <s v="To be realised"/>
    <n v="0"/>
    <n v="0"/>
    <n v="20"/>
    <n v="0"/>
    <n v="0"/>
    <s v="Column BN to be completed"/>
    <m/>
    <n v="0"/>
    <n v="0"/>
    <n v="1"/>
    <s v="Excellent coverage"/>
    <n v="0"/>
    <x v="2"/>
    <m/>
  </r>
  <r>
    <x v="8"/>
    <s v="MMR001CMP235"/>
    <x v="7"/>
    <x v="74"/>
    <m/>
    <m/>
    <x v="1"/>
    <x v="0"/>
    <x v="2"/>
    <x v="1"/>
    <n v="24"/>
    <n v="83"/>
    <n v="83"/>
    <n v="83"/>
    <x v="1"/>
    <s v="CIDA"/>
    <m/>
    <x v="2"/>
    <x v="1"/>
    <s v="Gap"/>
    <s v="Not documented"/>
    <x v="1"/>
    <n v="0"/>
    <n v="0"/>
    <s v="No"/>
    <s v="No"/>
    <n v="0"/>
    <n v="1"/>
    <n v="0"/>
    <n v="0"/>
    <n v="0"/>
    <m/>
    <n v="1"/>
    <n v="83"/>
    <n v="1"/>
    <n v="83"/>
    <n v="1"/>
    <n v="83"/>
    <x v="0"/>
    <n v="0"/>
    <n v="0"/>
    <n v="0"/>
    <n v="0"/>
    <n v="0"/>
    <n v="1"/>
    <n v="83"/>
    <m/>
    <n v="573"/>
    <n v="24"/>
    <m/>
    <n v="0"/>
    <x v="1"/>
    <x v="0"/>
    <n v="1"/>
    <n v="83"/>
    <n v="1"/>
    <n v="83"/>
    <n v="0"/>
    <n v="0"/>
    <n v="0"/>
    <n v="1"/>
    <n v="83"/>
    <n v="4.1500000000000004"/>
    <n v="0"/>
    <s v="Not separated yet"/>
    <n v="0"/>
    <n v="0"/>
    <n v="0.83"/>
    <n v="0"/>
    <n v="0"/>
    <n v="0"/>
    <n v="0"/>
    <n v="0.83"/>
    <n v="0"/>
    <m/>
    <m/>
    <s v="No more HK distribution"/>
    <n v="0"/>
    <s v="To be realised"/>
    <n v="0"/>
    <n v="0"/>
    <n v="24"/>
    <n v="0"/>
    <n v="0"/>
    <s v="Column BN to be completed"/>
    <m/>
    <n v="0"/>
    <n v="0"/>
    <n v="2"/>
    <s v="Excellent coverage"/>
    <n v="0"/>
    <x v="2"/>
    <m/>
  </r>
  <r>
    <x v="9"/>
    <s v="MMR001CMP232"/>
    <x v="7"/>
    <x v="75"/>
    <n v="96.52534"/>
    <n v="24.996279999999999"/>
    <x v="1"/>
    <x v="0"/>
    <x v="0"/>
    <x v="1"/>
    <n v="36"/>
    <n v="153"/>
    <m/>
    <n v="153"/>
    <x v="1"/>
    <m/>
    <m/>
    <x v="2"/>
    <x v="1"/>
    <s v="Gap"/>
    <s v="Not documented"/>
    <x v="1"/>
    <n v="0"/>
    <n v="0"/>
    <s v="No"/>
    <s v="No"/>
    <n v="0"/>
    <n v="0"/>
    <n v="0"/>
    <n v="0"/>
    <n v="0"/>
    <m/>
    <n v="0"/>
    <n v="0"/>
    <n v="0"/>
    <n v="0"/>
    <n v="0"/>
    <n v="0"/>
    <x v="1"/>
    <n v="0"/>
    <n v="0"/>
    <n v="0.38250000000000001"/>
    <n v="0"/>
    <n v="0"/>
    <n v="0"/>
    <n v="0"/>
    <m/>
    <n v="0"/>
    <n v="0"/>
    <m/>
    <n v="3"/>
    <x v="2"/>
    <x v="3"/>
    <n v="0.39215686274509803"/>
    <n v="60"/>
    <n v="0"/>
    <n v="0"/>
    <n v="0.39215686274509803"/>
    <n v="60"/>
    <n v="0"/>
    <n v="0.39"/>
    <n v="59.67"/>
    <n v="4.6500000000000004"/>
    <n v="0"/>
    <s v="Not separated yet"/>
    <n v="0"/>
    <n v="0"/>
    <n v="1.53"/>
    <n v="0"/>
    <n v="0"/>
    <n v="0"/>
    <n v="0"/>
    <n v="1.53"/>
    <n v="0"/>
    <m/>
    <m/>
    <m/>
    <m/>
    <s v="To be realised"/>
    <n v="0"/>
    <n v="0"/>
    <n v="36"/>
    <n v="0"/>
    <n v="0"/>
    <s v="Column BN to be completed"/>
    <m/>
    <n v="0"/>
    <n v="0"/>
    <n v="4"/>
    <s v="Excellent coverage"/>
    <n v="0"/>
    <x v="1"/>
    <m/>
  </r>
  <r>
    <x v="9"/>
    <s v="MMR001CMP233"/>
    <x v="7"/>
    <x v="76"/>
    <n v="96.366919999999993"/>
    <n v="24.764959999999999"/>
    <x v="1"/>
    <x v="0"/>
    <x v="0"/>
    <x v="1"/>
    <n v="18"/>
    <n v="74"/>
    <m/>
    <n v="74"/>
    <x v="1"/>
    <m/>
    <m/>
    <x v="2"/>
    <x v="1"/>
    <s v="Gap"/>
    <s v="Not documented"/>
    <x v="1"/>
    <n v="0"/>
    <n v="0"/>
    <s v="No"/>
    <s v="No"/>
    <n v="0"/>
    <n v="0"/>
    <n v="0"/>
    <n v="0"/>
    <n v="0"/>
    <m/>
    <n v="0"/>
    <n v="0"/>
    <n v="0"/>
    <n v="0"/>
    <n v="0"/>
    <n v="0"/>
    <x v="1"/>
    <n v="0"/>
    <n v="0"/>
    <n v="0.185"/>
    <n v="0"/>
    <n v="0"/>
    <n v="0"/>
    <n v="0"/>
    <m/>
    <n v="24"/>
    <n v="14"/>
    <m/>
    <n v="16"/>
    <x v="0"/>
    <x v="1"/>
    <n v="1"/>
    <n v="74"/>
    <n v="0"/>
    <n v="0"/>
    <n v="1"/>
    <n v="74"/>
    <n v="0"/>
    <n v="1"/>
    <n v="74"/>
    <n v="0"/>
    <n v="0"/>
    <s v="Not separated yet"/>
    <n v="0"/>
    <n v="0"/>
    <n v="0.74"/>
    <n v="0"/>
    <n v="0"/>
    <n v="0"/>
    <n v="0"/>
    <n v="0.74"/>
    <n v="0"/>
    <m/>
    <m/>
    <m/>
    <m/>
    <s v="To be realised"/>
    <n v="0"/>
    <n v="0"/>
    <n v="18"/>
    <n v="0"/>
    <n v="0"/>
    <s v="Column BN to be completed"/>
    <m/>
    <n v="0"/>
    <n v="0"/>
    <n v="1"/>
    <s v="Excellent coverage"/>
    <n v="0"/>
    <x v="0"/>
    <m/>
  </r>
  <r>
    <x v="9"/>
    <s v="MMR001CMP152"/>
    <x v="7"/>
    <x v="77"/>
    <n v="96.364949999999993"/>
    <n v="24.998349999999999"/>
    <x v="0"/>
    <x v="0"/>
    <x v="2"/>
    <x v="0"/>
    <n v="20"/>
    <n v="106"/>
    <n v="85"/>
    <n v="85"/>
    <x v="1"/>
    <s v="CIDA"/>
    <s v="KBC"/>
    <x v="2"/>
    <x v="1"/>
    <s v="Gap"/>
    <s v="Not documented"/>
    <x v="1"/>
    <n v="0"/>
    <n v="0"/>
    <s v="No"/>
    <s v="No"/>
    <n v="0"/>
    <n v="1"/>
    <n v="7200"/>
    <n v="0"/>
    <n v="1"/>
    <s v="Ceramic Water filter"/>
    <n v="1"/>
    <n v="85"/>
    <n v="1"/>
    <n v="85"/>
    <n v="1"/>
    <n v="85"/>
    <x v="0"/>
    <n v="0"/>
    <n v="0"/>
    <n v="0"/>
    <n v="20"/>
    <n v="0"/>
    <n v="1"/>
    <n v="85"/>
    <m/>
    <n v="0"/>
    <n v="2"/>
    <m/>
    <n v="6"/>
    <x v="1"/>
    <x v="2"/>
    <n v="1"/>
    <n v="85"/>
    <n v="0"/>
    <n v="0"/>
    <n v="1"/>
    <n v="85"/>
    <n v="0"/>
    <n v="1"/>
    <n v="85"/>
    <n v="0"/>
    <n v="2"/>
    <s v="Separate, but not clearly perceived"/>
    <n v="1"/>
    <n v="85"/>
    <n v="0"/>
    <n v="1"/>
    <n v="85"/>
    <n v="2"/>
    <n v="1"/>
    <n v="0"/>
    <n v="1"/>
    <m/>
    <d v="2015-06-18T00:00:00"/>
    <s v="Blanket Consumable only"/>
    <m/>
    <d v="2016-06-17T00:00:00"/>
    <n v="19"/>
    <n v="0"/>
    <n v="1"/>
    <n v="0.95"/>
    <n v="80.75"/>
    <n v="8"/>
    <m/>
    <n v="0"/>
    <n v="0"/>
    <n v="4"/>
    <s v="Excellent coverage"/>
    <n v="0"/>
    <x v="2"/>
    <m/>
  </r>
  <r>
    <x v="9"/>
    <s v="MMR001CMP080"/>
    <x v="7"/>
    <x v="78"/>
    <n v="96.367059999999995"/>
    <n v="24.764800000000001"/>
    <x v="0"/>
    <x v="0"/>
    <x v="1"/>
    <x v="0"/>
    <n v="12"/>
    <n v="61"/>
    <n v="51"/>
    <n v="51"/>
    <x v="1"/>
    <m/>
    <s v="KMSS"/>
    <x v="2"/>
    <x v="1"/>
    <s v="Gap"/>
    <s v="Not documented"/>
    <x v="1"/>
    <n v="0"/>
    <n v="0"/>
    <s v="No"/>
    <s v="No"/>
    <n v="1"/>
    <n v="0"/>
    <n v="3000"/>
    <n v="0"/>
    <n v="0"/>
    <m/>
    <n v="1"/>
    <n v="51"/>
    <n v="1"/>
    <n v="51"/>
    <n v="1"/>
    <n v="51"/>
    <x v="0"/>
    <n v="0"/>
    <n v="0"/>
    <n v="0"/>
    <n v="0"/>
    <n v="0"/>
    <n v="1"/>
    <n v="51"/>
    <m/>
    <n v="16"/>
    <n v="0"/>
    <m/>
    <n v="3"/>
    <x v="2"/>
    <x v="1"/>
    <n v="1"/>
    <n v="51"/>
    <n v="0"/>
    <n v="0"/>
    <n v="1"/>
    <n v="51"/>
    <n v="0"/>
    <n v="1"/>
    <n v="51"/>
    <n v="0"/>
    <n v="2"/>
    <s v="Separate, clearly perceived"/>
    <n v="1"/>
    <n v="51"/>
    <n v="0"/>
    <n v="1"/>
    <n v="51"/>
    <n v="1"/>
    <n v="1"/>
    <n v="0"/>
    <n v="1"/>
    <s v="need to renovate the curretn bating spaces (not have enough side wall and roofs)"/>
    <d v="2014-06-27T00:00:00"/>
    <s v="Blanket Consumable only"/>
    <n v="0"/>
    <s v="To be realised"/>
    <n v="12"/>
    <n v="2"/>
    <n v="12"/>
    <n v="0"/>
    <n v="0"/>
    <n v="17"/>
    <m/>
    <n v="0"/>
    <n v="0"/>
    <n v="2"/>
    <s v="Excellent coverage"/>
    <n v="0"/>
    <x v="2"/>
    <m/>
  </r>
  <r>
    <x v="10"/>
    <s v="MMR001CMP056"/>
    <x v="0"/>
    <x v="79"/>
    <n v="97.347049999999996"/>
    <n v="24.255870000000002"/>
    <x v="0"/>
    <x v="0"/>
    <x v="1"/>
    <x v="0"/>
    <n v="141"/>
    <n v="625"/>
    <n v="625"/>
    <n v="625"/>
    <x v="0"/>
    <s v="HIDA, WHH,USAID,UNICEF"/>
    <s v="KBC"/>
    <x v="1"/>
    <x v="0"/>
    <d v="2016-05-31T00:00:00"/>
    <s v="Focal NGO"/>
    <x v="0"/>
    <n v="0"/>
    <n v="0"/>
    <s v="Yes"/>
    <s v="No"/>
    <n v="1"/>
    <n v="1"/>
    <n v="9555"/>
    <n v="0.1"/>
    <n v="0.3"/>
    <s v="Ceramic Water filter"/>
    <n v="1"/>
    <n v="625"/>
    <n v="1"/>
    <n v="625"/>
    <n v="1"/>
    <n v="625"/>
    <x v="0"/>
    <n v="0"/>
    <n v="0"/>
    <n v="0"/>
    <n v="42.3"/>
    <n v="62.5"/>
    <n v="1"/>
    <n v="625"/>
    <m/>
    <n v="60"/>
    <n v="14"/>
    <m/>
    <n v="14"/>
    <x v="0"/>
    <x v="0"/>
    <n v="0.89600000000000002"/>
    <n v="560"/>
    <n v="0.44800000000000001"/>
    <n v="280"/>
    <n v="0.44800000000000001"/>
    <n v="280"/>
    <n v="0"/>
    <n v="0.96"/>
    <n v="600"/>
    <n v="17.25"/>
    <n v="8"/>
    <s v="Separate, but not clearly perceived"/>
    <n v="1"/>
    <n v="625"/>
    <n v="0"/>
    <n v="1"/>
    <n v="625"/>
    <n v="11"/>
    <n v="1"/>
    <n v="0"/>
    <n v="1"/>
    <m/>
    <d v="2014-05-12T00:00:00"/>
    <s v="Blanket Consumable only"/>
    <n v="0"/>
    <s v="To be realised"/>
    <n v="143"/>
    <n v="10"/>
    <n v="141"/>
    <n v="0"/>
    <n v="0"/>
    <n v="11"/>
    <m/>
    <n v="0.8"/>
    <n v="500"/>
    <n v="1"/>
    <s v="Good coverage"/>
    <n v="0"/>
    <x v="0"/>
    <m/>
  </r>
  <r>
    <x v="10"/>
    <s v="MMR001CMP240"/>
    <x v="0"/>
    <x v="80"/>
    <m/>
    <m/>
    <x v="2"/>
    <x v="0"/>
    <x v="2"/>
    <x v="2"/>
    <m/>
    <n v="49"/>
    <m/>
    <n v="49"/>
    <x v="1"/>
    <m/>
    <m/>
    <x v="2"/>
    <x v="1"/>
    <s v="Gap"/>
    <s v="Not documented"/>
    <x v="1"/>
    <n v="0"/>
    <n v="0"/>
    <s v="No"/>
    <s v="No"/>
    <n v="0"/>
    <n v="0"/>
    <n v="0"/>
    <n v="0"/>
    <n v="0"/>
    <m/>
    <n v="0"/>
    <n v="0"/>
    <n v="0"/>
    <n v="0"/>
    <n v="0"/>
    <n v="0"/>
    <x v="1"/>
    <n v="0"/>
    <n v="0"/>
    <n v="0.1225"/>
    <n v="0"/>
    <n v="0"/>
    <n v="0"/>
    <n v="0"/>
    <m/>
    <n v="12"/>
    <n v="0"/>
    <m/>
    <n v="6"/>
    <x v="0"/>
    <x v="1"/>
    <n v="1"/>
    <n v="49"/>
    <n v="0"/>
    <n v="0"/>
    <n v="1"/>
    <n v="49"/>
    <n v="0"/>
    <n v="1"/>
    <n v="49"/>
    <n v="0"/>
    <n v="0"/>
    <s v="Not separated yet"/>
    <n v="0"/>
    <n v="0"/>
    <n v="0.49"/>
    <n v="0"/>
    <n v="0"/>
    <n v="0"/>
    <n v="0"/>
    <n v="0.49"/>
    <n v="0"/>
    <m/>
    <m/>
    <m/>
    <m/>
    <s v="To be realised"/>
    <n v="0"/>
    <n v="0"/>
    <n v="0"/>
    <n v="1"/>
    <n v="49"/>
    <s v="Column BN to be completed"/>
    <m/>
    <n v="0"/>
    <n v="0"/>
    <n v="1"/>
    <s v="Excellent coverage"/>
    <n v="0"/>
    <x v="0"/>
    <m/>
  </r>
  <r>
    <x v="10"/>
    <s v="MMR001CMP123"/>
    <x v="4"/>
    <x v="81"/>
    <n v="97.537099999999995"/>
    <n v="24.461033"/>
    <x v="0"/>
    <x v="1"/>
    <x v="2"/>
    <x v="0"/>
    <n v="115"/>
    <n v="595"/>
    <n v="620"/>
    <n v="620"/>
    <x v="0"/>
    <s v="DFID"/>
    <s v="IRRC"/>
    <x v="3"/>
    <x v="0"/>
    <d v="2016-12-31T00:00:00"/>
    <s v="Focal NGO"/>
    <x v="0"/>
    <n v="0"/>
    <n v="0"/>
    <s v="No"/>
    <s v="No"/>
    <n v="0"/>
    <n v="0"/>
    <n v="14568"/>
    <n v="0"/>
    <n v="1"/>
    <m/>
    <n v="1"/>
    <n v="620"/>
    <n v="1"/>
    <n v="620"/>
    <n v="1"/>
    <n v="620"/>
    <x v="0"/>
    <n v="0"/>
    <n v="0"/>
    <n v="1.55"/>
    <n v="115"/>
    <n v="0"/>
    <n v="1"/>
    <n v="620"/>
    <s v="have a plan to renovate current GFS"/>
    <n v="2"/>
    <n v="60"/>
    <m/>
    <n v="37"/>
    <x v="1"/>
    <x v="1"/>
    <n v="1"/>
    <n v="620"/>
    <n v="0"/>
    <n v="0"/>
    <n v="1"/>
    <n v="620"/>
    <n v="0"/>
    <n v="1"/>
    <n v="620"/>
    <n v="0"/>
    <n v="4"/>
    <s v="Separate, clearly perceived"/>
    <n v="0.64516129032258063"/>
    <n v="400"/>
    <n v="1.9500000000000002"/>
    <n v="0.66"/>
    <n v="409.20000000000005"/>
    <n v="7"/>
    <n v="1"/>
    <n v="0"/>
    <n v="1"/>
    <m/>
    <d v="2015-12-03T00:00:00"/>
    <s v="Blanket Full HK + consumable refilling"/>
    <n v="0"/>
    <d v="2016-12-02T00:00:00"/>
    <n v="117"/>
    <n v="3"/>
    <n v="0"/>
    <n v="1"/>
    <n v="620"/>
    <n v="0"/>
    <m/>
    <n v="1"/>
    <n v="620"/>
    <n v="0"/>
    <s v="No coverage"/>
    <n v="0"/>
    <x v="0"/>
    <m/>
  </r>
  <r>
    <x v="10"/>
    <s v="MMR001CMP122"/>
    <x v="8"/>
    <x v="82"/>
    <n v="97.573166999999998"/>
    <n v="24.661466999999998"/>
    <x v="0"/>
    <x v="1"/>
    <x v="2"/>
    <x v="0"/>
    <n v="659"/>
    <n v="3194"/>
    <n v="2900"/>
    <n v="2900"/>
    <x v="2"/>
    <s v="WHH / UNICEF"/>
    <s v="IRRC"/>
    <x v="1"/>
    <x v="0"/>
    <d v="2016-05-31T00:00:00"/>
    <s v="Focal NGO"/>
    <x v="0"/>
    <n v="0"/>
    <n v="0"/>
    <s v="No"/>
    <s v="No"/>
    <n v="3"/>
    <n v="0"/>
    <n v="34155"/>
    <n v="0"/>
    <n v="1"/>
    <s v="Water Filter Made in China"/>
    <n v="1"/>
    <n v="2900"/>
    <n v="1"/>
    <n v="2900"/>
    <n v="1"/>
    <n v="2900"/>
    <x v="0"/>
    <n v="0"/>
    <n v="0"/>
    <n v="4.25"/>
    <n v="659"/>
    <n v="0"/>
    <n v="1"/>
    <n v="2900"/>
    <m/>
    <n v="8"/>
    <n v="74"/>
    <n v="0"/>
    <n v="302"/>
    <x v="0"/>
    <x v="0"/>
    <n v="1"/>
    <n v="2900"/>
    <n v="0"/>
    <n v="0"/>
    <n v="1"/>
    <n v="2900"/>
    <n v="0"/>
    <n v="1"/>
    <n v="2900"/>
    <n v="0"/>
    <n v="20"/>
    <s v="Separate, clearly perceived"/>
    <n v="0.68965517241379315"/>
    <n v="2000.0000000000002"/>
    <n v="11.940000000000001"/>
    <n v="0.69"/>
    <n v="2000.9999999999998"/>
    <n v="50"/>
    <n v="1"/>
    <n v="0"/>
    <n v="1"/>
    <m/>
    <m/>
    <m/>
    <m/>
    <s v="To be realised"/>
    <n v="479"/>
    <n v="19"/>
    <n v="659"/>
    <n v="0"/>
    <n v="0"/>
    <s v="Column BN to be completed"/>
    <s v="Metta will cover refill HK distribution in this camp until May 2016"/>
    <n v="0.5"/>
    <n v="1450"/>
    <n v="0"/>
    <s v="No coverage"/>
    <n v="1"/>
    <x v="0"/>
    <m/>
  </r>
  <r>
    <x v="10"/>
    <s v="MMR001CMP121"/>
    <x v="8"/>
    <x v="83"/>
    <n v="97.568282999999994"/>
    <n v="24.688167"/>
    <x v="0"/>
    <x v="1"/>
    <x v="2"/>
    <x v="0"/>
    <n v="1563"/>
    <n v="8037"/>
    <n v="7247"/>
    <n v="7852"/>
    <x v="4"/>
    <s v="ECHO"/>
    <s v="KMSS"/>
    <x v="7"/>
    <x v="0"/>
    <d v="2016-05-31T00:00:00"/>
    <s v="Focal NGO"/>
    <x v="0"/>
    <n v="0"/>
    <n v="0"/>
    <s v="No"/>
    <s v="No"/>
    <n v="5"/>
    <n v="0"/>
    <n v="252973"/>
    <n v="0"/>
    <n v="0.4"/>
    <s v="Ceramic Water filter"/>
    <n v="1"/>
    <n v="7852"/>
    <n v="1"/>
    <n v="7852"/>
    <n v="1"/>
    <n v="7852"/>
    <x v="0"/>
    <n v="0"/>
    <n v="0"/>
    <n v="14.629999999999999"/>
    <n v="625.20000000000005"/>
    <n v="0"/>
    <n v="1"/>
    <n v="7852"/>
    <s v="2 stream catchment. Plan to distribute CWF to fill up the gap"/>
    <n v="0"/>
    <n v="17"/>
    <m/>
    <n v="463"/>
    <x v="3"/>
    <x v="0"/>
    <n v="1"/>
    <n v="7852"/>
    <n v="0"/>
    <n v="0"/>
    <n v="1"/>
    <n v="7852"/>
    <n v="0"/>
    <n v="1"/>
    <n v="7852"/>
    <n v="0"/>
    <n v="50"/>
    <s v="Not separated yet"/>
    <n v="0.63678043810494145"/>
    <n v="5000"/>
    <n v="30.370000000000005"/>
    <n v="0.64"/>
    <n v="5025.28"/>
    <n v="101"/>
    <n v="1"/>
    <n v="0"/>
    <n v="1"/>
    <m/>
    <d v="2016-02-23T00:00:00"/>
    <s v="Blanket Consumable only"/>
    <n v="0"/>
    <d v="2017-02-22T00:00:00"/>
    <n v="1386.5"/>
    <n v="9"/>
    <n v="176.5"/>
    <n v="0.88707613563659626"/>
    <n v="6965.3218170185537"/>
    <n v="0"/>
    <m/>
    <n v="1"/>
    <n v="7852"/>
    <n v="24"/>
    <s v="Excellent coverage"/>
    <n v="0"/>
    <x v="0"/>
    <m/>
  </r>
  <r>
    <x v="10"/>
    <s v="MMR001CMP056"/>
    <x v="0"/>
    <x v="84"/>
    <n v="97.346310000000003"/>
    <n v="24.253630000000001"/>
    <x v="0"/>
    <x v="0"/>
    <x v="0"/>
    <x v="0"/>
    <n v="23"/>
    <n v="113"/>
    <n v="113"/>
    <n v="113"/>
    <x v="1"/>
    <s v="HIDA, WHH,USAID,UNICEF"/>
    <s v="KBC"/>
    <x v="1"/>
    <x v="0"/>
    <d v="2016-05-31T00:00:00"/>
    <s v="Focal NGO"/>
    <x v="0"/>
    <n v="0"/>
    <n v="0"/>
    <s v="No"/>
    <s v="No"/>
    <n v="1"/>
    <n v="0"/>
    <n v="2000"/>
    <n v="0"/>
    <n v="0"/>
    <m/>
    <n v="1"/>
    <n v="113"/>
    <n v="1"/>
    <n v="113"/>
    <n v="1"/>
    <n v="113"/>
    <x v="0"/>
    <n v="0"/>
    <n v="0"/>
    <n v="0"/>
    <n v="0"/>
    <n v="0"/>
    <n v="1"/>
    <n v="113"/>
    <m/>
    <n v="34"/>
    <n v="0"/>
    <m/>
    <n v="4"/>
    <x v="1"/>
    <x v="1"/>
    <n v="0.70796460176991149"/>
    <n v="80"/>
    <n v="0"/>
    <n v="0"/>
    <n v="0.70796460176991149"/>
    <n v="80"/>
    <n v="0"/>
    <n v="1"/>
    <n v="113"/>
    <n v="1.6500000000000004"/>
    <n v="2"/>
    <s v="Not separated yet"/>
    <n v="1"/>
    <n v="113"/>
    <n v="0"/>
    <n v="1"/>
    <n v="113"/>
    <n v="2"/>
    <n v="1"/>
    <n v="0"/>
    <n v="1"/>
    <m/>
    <d v="2014-05-12T00:00:00"/>
    <s v="Blanket Consumable only"/>
    <n v="0"/>
    <s v="To be realised"/>
    <n v="23"/>
    <n v="10"/>
    <n v="23"/>
    <n v="0"/>
    <n v="0"/>
    <n v="11"/>
    <m/>
    <n v="0.75"/>
    <n v="84.75"/>
    <n v="1"/>
    <s v="Excellent coverage"/>
    <n v="0"/>
    <x v="0"/>
    <m/>
  </r>
  <r>
    <x v="10"/>
    <s v="MMR001CMP056"/>
    <x v="0"/>
    <x v="85"/>
    <n v="97.359300000000005"/>
    <n v="24.267040000000001"/>
    <x v="0"/>
    <x v="0"/>
    <x v="0"/>
    <x v="0"/>
    <n v="8"/>
    <n v="39"/>
    <n v="39"/>
    <n v="39"/>
    <x v="1"/>
    <s v="HIDA, WHH,USAID,UNICEF"/>
    <s v="KBC"/>
    <x v="1"/>
    <x v="0"/>
    <d v="2016-05-31T00:00:00"/>
    <s v="Focal NGO"/>
    <x v="0"/>
    <n v="0"/>
    <n v="0"/>
    <s v="No"/>
    <s v="No"/>
    <n v="0"/>
    <n v="0"/>
    <n v="1080"/>
    <n v="0"/>
    <n v="0"/>
    <m/>
    <n v="1"/>
    <n v="39"/>
    <n v="1"/>
    <n v="39"/>
    <n v="1"/>
    <n v="39"/>
    <x v="0"/>
    <n v="0"/>
    <n v="0"/>
    <n v="9.7500000000000003E-2"/>
    <n v="0"/>
    <n v="0"/>
    <n v="1"/>
    <n v="39"/>
    <m/>
    <n v="30"/>
    <n v="2"/>
    <m/>
    <n v="1"/>
    <x v="1"/>
    <x v="0"/>
    <n v="1"/>
    <n v="39"/>
    <n v="0.48717948717948723"/>
    <n v="19"/>
    <n v="0.51282051282051277"/>
    <n v="20"/>
    <n v="0"/>
    <n v="1"/>
    <n v="39"/>
    <n v="0.95"/>
    <n v="1"/>
    <s v="Not separated yet"/>
    <n v="1"/>
    <n v="39"/>
    <n v="0"/>
    <n v="1"/>
    <n v="39"/>
    <n v="1"/>
    <n v="1"/>
    <n v="0"/>
    <n v="1"/>
    <m/>
    <d v="2014-05-09T00:00:00"/>
    <s v="Blanket Consumable only"/>
    <n v="0"/>
    <s v="To be realised"/>
    <n v="7"/>
    <n v="10"/>
    <n v="8"/>
    <n v="0"/>
    <n v="0"/>
    <n v="11"/>
    <m/>
    <n v="0.85"/>
    <n v="33.15"/>
    <n v="0"/>
    <s v="No coverage"/>
    <n v="0"/>
    <x v="0"/>
    <m/>
  </r>
  <r>
    <x v="10"/>
    <s v="MMR001CMP200"/>
    <x v="0"/>
    <x v="86"/>
    <n v="97.193340000000006"/>
    <n v="24.230450000000001"/>
    <x v="1"/>
    <x v="0"/>
    <x v="2"/>
    <x v="1"/>
    <n v="4"/>
    <n v="26"/>
    <n v="26"/>
    <n v="26"/>
    <x v="1"/>
    <m/>
    <m/>
    <x v="2"/>
    <x v="1"/>
    <s v="Gap"/>
    <s v="Not documented"/>
    <x v="1"/>
    <n v="0"/>
    <n v="0"/>
    <s v="No"/>
    <s v="No"/>
    <n v="0"/>
    <n v="0"/>
    <n v="0"/>
    <n v="0"/>
    <n v="0"/>
    <m/>
    <n v="0"/>
    <n v="0"/>
    <n v="0"/>
    <n v="0"/>
    <n v="0"/>
    <n v="0"/>
    <x v="1"/>
    <n v="0"/>
    <n v="0"/>
    <n v="6.5000000000000002E-2"/>
    <n v="0"/>
    <n v="0"/>
    <n v="0"/>
    <n v="0"/>
    <m/>
    <n v="2"/>
    <n v="0"/>
    <m/>
    <n v="0"/>
    <x v="1"/>
    <x v="0"/>
    <n v="0"/>
    <n v="0"/>
    <n v="0"/>
    <n v="0"/>
    <n v="0"/>
    <n v="0"/>
    <n v="0"/>
    <n v="0"/>
    <n v="0"/>
    <n v="1.3"/>
    <n v="0"/>
    <s v="Not separated yet"/>
    <n v="0"/>
    <n v="0"/>
    <n v="0.26"/>
    <n v="0"/>
    <n v="0"/>
    <n v="0"/>
    <n v="0"/>
    <n v="0.26"/>
    <n v="0"/>
    <m/>
    <m/>
    <s v="No more HK distribution"/>
    <n v="0"/>
    <s v="To be realised"/>
    <n v="0"/>
    <n v="0"/>
    <n v="4"/>
    <n v="0"/>
    <n v="0"/>
    <s v="Column BN to be completed"/>
    <m/>
    <n v="0"/>
    <n v="0"/>
    <n v="1"/>
    <s v="Excellent coverage"/>
    <n v="0"/>
    <x v="0"/>
    <m/>
  </r>
  <r>
    <x v="10"/>
    <s v="MMR001CMP071"/>
    <x v="4"/>
    <x v="87"/>
    <n v="97.718582999999995"/>
    <n v="24.200972"/>
    <x v="0"/>
    <x v="0"/>
    <x v="1"/>
    <x v="0"/>
    <n v="28"/>
    <n v="180"/>
    <n v="182"/>
    <n v="215"/>
    <x v="1"/>
    <s v="OFDA"/>
    <s v="KBC"/>
    <x v="0"/>
    <x v="0"/>
    <d v="2016-04-30T00:00:00"/>
    <s v="Focal NGO"/>
    <x v="0"/>
    <n v="0"/>
    <n v="0"/>
    <s v="No"/>
    <s v="No"/>
    <n v="1"/>
    <n v="0"/>
    <n v="2040"/>
    <n v="0"/>
    <n v="1"/>
    <s v="Ceramic Water filter"/>
    <n v="1"/>
    <n v="215"/>
    <n v="1"/>
    <n v="215"/>
    <n v="1"/>
    <n v="215"/>
    <x v="0"/>
    <n v="0"/>
    <n v="0"/>
    <n v="0"/>
    <n v="28"/>
    <n v="0"/>
    <n v="1"/>
    <n v="215"/>
    <m/>
    <n v="28"/>
    <n v="4"/>
    <m/>
    <n v="0"/>
    <x v="0"/>
    <x v="0"/>
    <n v="0.37209302325581395"/>
    <n v="80"/>
    <n v="0.37209302325581395"/>
    <n v="80"/>
    <n v="0"/>
    <n v="0"/>
    <n v="0"/>
    <n v="0.37209999999999999"/>
    <n v="80.001499999999993"/>
    <n v="10.75"/>
    <n v="0"/>
    <s v="Not separated yet"/>
    <n v="0"/>
    <n v="0"/>
    <n v="1.8"/>
    <n v="0.47"/>
    <n v="101.05"/>
    <n v="6"/>
    <n v="1"/>
    <n v="0"/>
    <n v="1"/>
    <s v="we have plan 1 bathing place in this camp. SI has planned to construct additional 5 Semi-Permanent latrines in this camp"/>
    <d v="2016-02-04T00:00:00"/>
    <s v="Targetted Consumable only"/>
    <n v="0.45"/>
    <d v="2017-02-03T00:00:00"/>
    <n v="26.5"/>
    <n v="9"/>
    <n v="1.5"/>
    <n v="0.9464285714285714"/>
    <n v="203.48214285714286"/>
    <n v="0"/>
    <m/>
    <n v="1"/>
    <n v="215"/>
    <n v="1"/>
    <s v="Excellent coverage"/>
    <n v="0"/>
    <x v="0"/>
    <m/>
  </r>
  <r>
    <x v="10"/>
    <s v="MMR001CMP069"/>
    <x v="4"/>
    <x v="88"/>
    <n v="97.724566999999993"/>
    <n v="24.205417000000001"/>
    <x v="0"/>
    <x v="0"/>
    <x v="1"/>
    <x v="0"/>
    <n v="48"/>
    <n v="270"/>
    <n v="369"/>
    <n v="261"/>
    <x v="1"/>
    <s v="OFDA"/>
    <s v="KMSS"/>
    <x v="0"/>
    <x v="0"/>
    <d v="2016-04-30T00:00:00"/>
    <s v="Focal NGO"/>
    <x v="0"/>
    <n v="0"/>
    <n v="0"/>
    <s v="No"/>
    <s v="No"/>
    <n v="0"/>
    <n v="0"/>
    <n v="2940"/>
    <n v="0"/>
    <n v="1"/>
    <s v="Ceramic Water filter"/>
    <n v="0.75095785440613028"/>
    <n v="196"/>
    <n v="0.75095785440613028"/>
    <n v="196"/>
    <n v="1"/>
    <n v="261"/>
    <x v="4"/>
    <n v="0"/>
    <n v="0"/>
    <n v="0.65249999999999997"/>
    <n v="48"/>
    <n v="0"/>
    <n v="1"/>
    <n v="261"/>
    <s v="1 DTW in this camp"/>
    <n v="1"/>
    <n v="9"/>
    <m/>
    <n v="12"/>
    <x v="3"/>
    <x v="0"/>
    <n v="1"/>
    <n v="261"/>
    <n v="8.0459770114942541E-2"/>
    <n v="21.000000000000004"/>
    <n v="0.91954022988505746"/>
    <n v="240"/>
    <n v="0"/>
    <n v="1"/>
    <n v="261"/>
    <n v="1.0500000000000007"/>
    <n v="2"/>
    <s v="Not separated yet"/>
    <n v="0.76628352490421459"/>
    <n v="200"/>
    <n v="0.70000000000000018"/>
    <n v="0.77"/>
    <n v="200.97"/>
    <n v="7"/>
    <n v="1"/>
    <n v="0"/>
    <n v="1"/>
    <m/>
    <d v="2016-02-04T00:00:00"/>
    <s v="Targetted Consumable only"/>
    <n v="0.45"/>
    <d v="2017-02-03T00:00:00"/>
    <n v="41.5"/>
    <n v="9"/>
    <n v="6.5"/>
    <n v="0.86458333333333337"/>
    <n v="225.65625"/>
    <n v="0"/>
    <m/>
    <n v="1"/>
    <n v="261"/>
    <n v="1"/>
    <s v="Excellent coverage"/>
    <n v="0"/>
    <x v="0"/>
    <m/>
  </r>
  <r>
    <x v="10"/>
    <s v="MMR001CMP070"/>
    <x v="4"/>
    <x v="89"/>
    <n v="97.717133000000004"/>
    <n v="24.200433"/>
    <x v="0"/>
    <x v="0"/>
    <x v="1"/>
    <x v="0"/>
    <n v="75"/>
    <n v="435"/>
    <n v="412"/>
    <n v="435"/>
    <x v="0"/>
    <s v="OFDA"/>
    <s v="KBC"/>
    <x v="0"/>
    <x v="0"/>
    <d v="2016-04-30T00:00:00"/>
    <s v="Focal NGO"/>
    <x v="0"/>
    <n v="0"/>
    <n v="0"/>
    <s v="No"/>
    <s v="No"/>
    <n v="1"/>
    <n v="0"/>
    <n v="12720"/>
    <n v="0"/>
    <n v="1"/>
    <s v="Ceramic Water filter"/>
    <n v="1"/>
    <n v="435"/>
    <n v="1"/>
    <n v="435"/>
    <n v="1"/>
    <n v="435"/>
    <x v="0"/>
    <n v="0"/>
    <n v="0"/>
    <n v="8.7499999999999911E-2"/>
    <n v="75"/>
    <n v="0"/>
    <n v="1"/>
    <n v="435"/>
    <s v="1 DTW  in this camp "/>
    <n v="6"/>
    <n v="0"/>
    <m/>
    <n v="12"/>
    <x v="3"/>
    <x v="0"/>
    <n v="0.55172413793103448"/>
    <n v="240"/>
    <n v="0"/>
    <n v="0"/>
    <n v="0.55172413793103448"/>
    <n v="240"/>
    <n v="0"/>
    <n v="0.55200000000000005"/>
    <n v="240.12000000000003"/>
    <n v="9.75"/>
    <n v="1"/>
    <s v="Not separated yet"/>
    <n v="0.22988505747126436"/>
    <n v="100"/>
    <n v="3.3499999999999996"/>
    <n v="0.23"/>
    <n v="100.05000000000001"/>
    <n v="4"/>
    <n v="0.91954022988505746"/>
    <n v="0.34999999999999964"/>
    <n v="0.92"/>
    <m/>
    <d v="2016-02-05T00:00:00"/>
    <s v="Targetted Consumable only"/>
    <n v="0.45"/>
    <d v="2017-02-04T00:00:00"/>
    <n v="154"/>
    <n v="9"/>
    <n v="0"/>
    <n v="1"/>
    <n v="435"/>
    <n v="0"/>
    <m/>
    <n v="1"/>
    <n v="435"/>
    <n v="3"/>
    <s v="Excellent coverage"/>
    <n v="0"/>
    <x v="0"/>
    <m/>
  </r>
  <r>
    <x v="10"/>
    <s v="MMR001CMP070"/>
    <x v="4"/>
    <x v="90"/>
    <n v="97.715400000000002"/>
    <n v="24.20083"/>
    <x v="0"/>
    <x v="0"/>
    <x v="1"/>
    <x v="0"/>
    <n v="40"/>
    <n v="220"/>
    <n v="220"/>
    <n v="220"/>
    <x v="1"/>
    <s v="OFDA"/>
    <s v="KBC"/>
    <x v="0"/>
    <x v="0"/>
    <d v="2016-04-30T00:00:00"/>
    <s v="Focal NGO"/>
    <x v="0"/>
    <n v="0"/>
    <n v="0"/>
    <s v="No"/>
    <s v="No"/>
    <n v="1"/>
    <n v="0"/>
    <n v="6448"/>
    <n v="0"/>
    <n v="1"/>
    <s v="Ceramic Water filter"/>
    <n v="1"/>
    <n v="220"/>
    <n v="1"/>
    <n v="220"/>
    <n v="1"/>
    <n v="220"/>
    <x v="0"/>
    <n v="0"/>
    <n v="0"/>
    <n v="0"/>
    <n v="40"/>
    <n v="0"/>
    <n v="1"/>
    <n v="220"/>
    <m/>
    <n v="15"/>
    <n v="2"/>
    <m/>
    <n v="10"/>
    <x v="0"/>
    <x v="0"/>
    <n v="1"/>
    <n v="220"/>
    <n v="9.0909090909090939E-2"/>
    <n v="20.000000000000007"/>
    <n v="0.90909090909090906"/>
    <n v="200"/>
    <n v="0"/>
    <n v="1"/>
    <n v="220"/>
    <n v="1"/>
    <n v="1"/>
    <s v="Not separated yet"/>
    <n v="0.45454545454545453"/>
    <n v="100"/>
    <n v="1.2000000000000002"/>
    <n v="0.45455000000000001"/>
    <n v="100.001"/>
    <n v="4"/>
    <n v="1"/>
    <n v="0"/>
    <n v="1"/>
    <m/>
    <d v="2016-02-05T00:00:00"/>
    <s v="Targetted Consumable only"/>
    <n v="0.45"/>
    <d v="2017-02-04T00:00:00"/>
    <m/>
    <n v="9"/>
    <n v="40"/>
    <n v="0"/>
    <n v="0"/>
    <n v="0"/>
    <m/>
    <n v="1"/>
    <n v="220"/>
    <n v="1"/>
    <s v="Excellent coverage"/>
    <n v="0"/>
    <x v="0"/>
    <m/>
  </r>
  <r>
    <x v="10"/>
    <s v="MMR001CMP070"/>
    <x v="4"/>
    <x v="91"/>
    <n v="97.716260000000005"/>
    <n v="24.20411"/>
    <x v="0"/>
    <x v="0"/>
    <x v="1"/>
    <x v="0"/>
    <n v="21"/>
    <n v="115"/>
    <n v="115"/>
    <n v="115"/>
    <x v="1"/>
    <s v="OFDA"/>
    <s v="KBC"/>
    <x v="0"/>
    <x v="0"/>
    <d v="2016-04-30T00:00:00"/>
    <s v="Focal NGO"/>
    <x v="0"/>
    <n v="0"/>
    <n v="0"/>
    <s v="No"/>
    <s v="No"/>
    <n v="1"/>
    <n v="0"/>
    <n v="2970"/>
    <n v="0"/>
    <n v="1"/>
    <s v="Ceramic Water filter"/>
    <n v="1"/>
    <n v="115"/>
    <n v="1"/>
    <n v="115"/>
    <n v="1"/>
    <n v="115"/>
    <x v="0"/>
    <n v="0"/>
    <n v="0"/>
    <n v="0"/>
    <n v="21"/>
    <n v="0"/>
    <n v="1"/>
    <n v="115"/>
    <m/>
    <n v="33"/>
    <n v="2"/>
    <m/>
    <n v="4"/>
    <x v="0"/>
    <x v="0"/>
    <n v="1"/>
    <n v="115"/>
    <n v="0.30434782608695654"/>
    <n v="35"/>
    <n v="0.69565217391304346"/>
    <n v="80"/>
    <n v="0"/>
    <n v="1"/>
    <n v="115"/>
    <n v="1.75"/>
    <n v="1"/>
    <s v="Not separated yet"/>
    <n v="0.86956521739130432"/>
    <n v="100"/>
    <n v="0.14999999999999991"/>
    <n v="0.87"/>
    <n v="100.05"/>
    <n v="2"/>
    <n v="1"/>
    <n v="0"/>
    <n v="1"/>
    <m/>
    <d v="2016-02-05T00:00:00"/>
    <s v="Targetted Consumable only"/>
    <n v="0.45"/>
    <d v="2017-02-04T00:00:00"/>
    <m/>
    <n v="9"/>
    <n v="21"/>
    <n v="0"/>
    <n v="0"/>
    <n v="0"/>
    <m/>
    <n v="1"/>
    <n v="115"/>
    <n v="1"/>
    <s v="Excellent coverage"/>
    <n v="0"/>
    <x v="0"/>
    <m/>
  </r>
  <r>
    <x v="10"/>
    <s v="MMR001CMP070"/>
    <x v="4"/>
    <x v="92"/>
    <n v="97.714839999999995"/>
    <n v="24.20757"/>
    <x v="0"/>
    <x v="0"/>
    <x v="1"/>
    <x v="0"/>
    <n v="52"/>
    <n v="248"/>
    <n v="248"/>
    <n v="248"/>
    <x v="0"/>
    <s v="OFDA"/>
    <s v="KBC"/>
    <x v="0"/>
    <x v="0"/>
    <d v="2016-04-30T00:00:00"/>
    <s v="Focal NGO"/>
    <x v="0"/>
    <n v="0"/>
    <n v="0"/>
    <s v="No"/>
    <s v="No"/>
    <n v="1"/>
    <n v="0"/>
    <n v="8360"/>
    <n v="0"/>
    <n v="1"/>
    <s v="Ceramic Water filter"/>
    <n v="1"/>
    <n v="248"/>
    <n v="1"/>
    <n v="248"/>
    <n v="1"/>
    <n v="248"/>
    <x v="0"/>
    <n v="0"/>
    <n v="0"/>
    <n v="0"/>
    <n v="52"/>
    <n v="0"/>
    <n v="1"/>
    <n v="248"/>
    <m/>
    <n v="14"/>
    <n v="0"/>
    <m/>
    <n v="10"/>
    <x v="0"/>
    <x v="0"/>
    <n v="0.80645161290322576"/>
    <n v="200"/>
    <n v="0"/>
    <n v="0"/>
    <n v="0.80645161290322576"/>
    <n v="200"/>
    <m/>
    <n v="0.81"/>
    <n v="200.88000000000002"/>
    <n v="2.4000000000000004"/>
    <n v="2"/>
    <s v="Not separated yet"/>
    <n v="0.80645161290322576"/>
    <n v="200"/>
    <n v="0.48"/>
    <n v="0.80645199999999995"/>
    <n v="200.00009599999998"/>
    <n v="2"/>
    <n v="0.80645161290322576"/>
    <n v="0.48"/>
    <n v="0.81"/>
    <m/>
    <d v="2016-02-05T00:00:00"/>
    <s v="Targetted Consumable only"/>
    <n v="0.45"/>
    <d v="2017-02-04T00:00:00"/>
    <m/>
    <n v="9"/>
    <n v="52"/>
    <n v="0"/>
    <n v="0"/>
    <n v="0"/>
    <m/>
    <n v="1"/>
    <n v="248"/>
    <n v="1"/>
    <s v="Excellent coverage"/>
    <n v="0"/>
    <x v="0"/>
    <m/>
  </r>
  <r>
    <x v="10"/>
    <s v="MMR001CMP072"/>
    <x v="4"/>
    <x v="93"/>
    <n v="97.724483000000006"/>
    <n v="24.205417000000001"/>
    <x v="0"/>
    <x v="0"/>
    <x v="1"/>
    <x v="0"/>
    <n v="50"/>
    <n v="310"/>
    <n v="295"/>
    <n v="310"/>
    <x v="1"/>
    <s v="OFDA"/>
    <s v="KBC"/>
    <x v="0"/>
    <x v="0"/>
    <d v="2016-04-30T00:00:00"/>
    <s v="Focal NGO"/>
    <x v="0"/>
    <n v="0"/>
    <n v="0"/>
    <s v="No"/>
    <s v="No"/>
    <n v="2"/>
    <n v="0"/>
    <n v="1056"/>
    <n v="0"/>
    <n v="1"/>
    <s v="Ceramic Water filter"/>
    <n v="1"/>
    <n v="310"/>
    <n v="1"/>
    <n v="310"/>
    <n v="1"/>
    <n v="310"/>
    <x v="0"/>
    <n v="0"/>
    <n v="0"/>
    <n v="0"/>
    <n v="50"/>
    <n v="0"/>
    <n v="1"/>
    <n v="310"/>
    <m/>
    <n v="2"/>
    <n v="14"/>
    <m/>
    <n v="8"/>
    <x v="0"/>
    <x v="0"/>
    <n v="1"/>
    <n v="310"/>
    <n v="0.4838709677419355"/>
    <n v="150"/>
    <n v="0.5161290322580645"/>
    <n v="160"/>
    <n v="0"/>
    <n v="1"/>
    <n v="310"/>
    <n v="7.5"/>
    <n v="3"/>
    <s v="Separate, clearly perceived"/>
    <n v="0.967741935483871"/>
    <n v="300"/>
    <n v="0.10000000000000009"/>
    <n v="0.97"/>
    <n v="300.7"/>
    <n v="6"/>
    <n v="1"/>
    <n v="0"/>
    <n v="1"/>
    <m/>
    <d v="2016-02-08T00:00:00"/>
    <s v="Targetted Consumable only"/>
    <n v="0.45"/>
    <d v="2017-02-07T00:00:00"/>
    <n v="46"/>
    <n v="9"/>
    <n v="4"/>
    <n v="0.92"/>
    <n v="285.2"/>
    <n v="0"/>
    <m/>
    <n v="1"/>
    <n v="310"/>
    <n v="3"/>
    <s v="Excellent coverage"/>
    <n v="0"/>
    <x v="0"/>
    <m/>
  </r>
  <r>
    <x v="10"/>
    <s v="MMR001CMP069"/>
    <x v="4"/>
    <x v="94"/>
    <n v="97.724000000000004"/>
    <n v="24.204999999999998"/>
    <x v="2"/>
    <x v="0"/>
    <x v="1"/>
    <x v="2"/>
    <n v="50"/>
    <n v="154"/>
    <n v="136"/>
    <n v="154"/>
    <x v="1"/>
    <s v="OFDA"/>
    <s v="KMSS"/>
    <x v="0"/>
    <x v="0"/>
    <d v="2016-04-30T00:00:00"/>
    <s v="Focal NGO"/>
    <x v="0"/>
    <n v="0"/>
    <n v="0"/>
    <s v="No"/>
    <s v="No"/>
    <n v="0"/>
    <n v="0"/>
    <n v="1167"/>
    <n v="0"/>
    <n v="1"/>
    <s v="Ceramic Water filter"/>
    <n v="0.5051948051948052"/>
    <n v="77.8"/>
    <n v="0.5051948051948052"/>
    <n v="77.8"/>
    <n v="1"/>
    <n v="154"/>
    <x v="2"/>
    <n v="0"/>
    <n v="0"/>
    <n v="0.38500000000000001"/>
    <n v="50"/>
    <n v="0"/>
    <n v="1"/>
    <n v="154"/>
    <s v="2 DTW in this camp"/>
    <n v="2"/>
    <n v="4"/>
    <m/>
    <n v="9"/>
    <x v="0"/>
    <x v="0"/>
    <n v="1"/>
    <n v="154"/>
    <n v="0"/>
    <n v="0"/>
    <n v="1"/>
    <n v="154"/>
    <n v="0"/>
    <n v="1"/>
    <n v="154"/>
    <n v="0"/>
    <n v="2"/>
    <s v="Separate, clearly perceived"/>
    <n v="1"/>
    <n v="154"/>
    <n v="0"/>
    <n v="1"/>
    <n v="154"/>
    <n v="6"/>
    <n v="1"/>
    <n v="0"/>
    <n v="1"/>
    <m/>
    <d v="2013-11-06T00:00:00"/>
    <s v="Targetted Consumable only"/>
    <n v="0.45"/>
    <s v="To be realised"/>
    <n v="5"/>
    <n v="9"/>
    <n v="50"/>
    <n v="0"/>
    <n v="0"/>
    <n v="18"/>
    <s v="SI will take role of focal from this October 15"/>
    <n v="1"/>
    <n v="154"/>
    <n v="0"/>
    <s v="No coverage"/>
    <n v="0"/>
    <x v="0"/>
    <m/>
  </r>
  <r>
    <x v="10"/>
    <s v="MMR001CMP073"/>
    <x v="4"/>
    <x v="95"/>
    <n v="97.710864000000001"/>
    <n v="24.207332999999998"/>
    <x v="0"/>
    <x v="0"/>
    <x v="1"/>
    <x v="0"/>
    <n v="39"/>
    <n v="236"/>
    <n v="285"/>
    <n v="237"/>
    <x v="1"/>
    <s v="OFDA"/>
    <s v="KBC"/>
    <x v="0"/>
    <x v="0"/>
    <d v="2016-04-30T00:00:00"/>
    <s v="Focal NGO"/>
    <x v="0"/>
    <n v="0"/>
    <n v="0"/>
    <s v="No"/>
    <s v="No"/>
    <n v="2"/>
    <n v="0"/>
    <n v="2244"/>
    <n v="0"/>
    <n v="1"/>
    <s v="Ceramic Water filter"/>
    <n v="1"/>
    <n v="237"/>
    <n v="1"/>
    <n v="237"/>
    <n v="1"/>
    <n v="237"/>
    <x v="0"/>
    <n v="0"/>
    <n v="0"/>
    <n v="0"/>
    <n v="39"/>
    <n v="0"/>
    <n v="1"/>
    <n v="237"/>
    <m/>
    <n v="14"/>
    <n v="0"/>
    <m/>
    <n v="18"/>
    <x v="0"/>
    <x v="0"/>
    <n v="1"/>
    <n v="237"/>
    <n v="0"/>
    <n v="0"/>
    <n v="1"/>
    <n v="237"/>
    <n v="0"/>
    <n v="1"/>
    <n v="237"/>
    <n v="0"/>
    <n v="3"/>
    <s v="Separate, clearly perceived"/>
    <n v="1"/>
    <n v="237"/>
    <n v="0"/>
    <n v="1"/>
    <n v="237"/>
    <n v="9"/>
    <n v="1"/>
    <n v="0"/>
    <n v="1"/>
    <m/>
    <d v="2016-02-08T00:00:00"/>
    <s v="Targetted Consumable only"/>
    <n v="0.45"/>
    <d v="2017-02-07T00:00:00"/>
    <n v="36.5"/>
    <n v="9"/>
    <n v="2.5"/>
    <n v="0.9358974358974359"/>
    <n v="221.80769230769232"/>
    <n v="0"/>
    <m/>
    <n v="1"/>
    <n v="237"/>
    <n v="1"/>
    <s v="Excellent coverage"/>
    <n v="0"/>
    <x v="0"/>
    <m/>
  </r>
  <r>
    <x v="10"/>
    <s v="MMR001CMP064"/>
    <x v="0"/>
    <x v="96"/>
    <n v="97.242360000000005"/>
    <n v="24.264130000000002"/>
    <x v="1"/>
    <x v="0"/>
    <x v="2"/>
    <x v="1"/>
    <n v="2"/>
    <n v="9"/>
    <n v="9"/>
    <n v="9"/>
    <x v="1"/>
    <m/>
    <m/>
    <x v="2"/>
    <x v="1"/>
    <s v="Gap"/>
    <s v="Not documented"/>
    <x v="1"/>
    <n v="0"/>
    <n v="0"/>
    <s v="No"/>
    <s v="No"/>
    <n v="0"/>
    <n v="0"/>
    <n v="0"/>
    <n v="0"/>
    <n v="0"/>
    <m/>
    <n v="0"/>
    <n v="0"/>
    <n v="0"/>
    <n v="0"/>
    <n v="0"/>
    <n v="0"/>
    <x v="1"/>
    <n v="0"/>
    <n v="0"/>
    <n v="2.2499999999999999E-2"/>
    <n v="0"/>
    <n v="0"/>
    <n v="0"/>
    <n v="0"/>
    <m/>
    <n v="23"/>
    <n v="0"/>
    <m/>
    <n v="0"/>
    <x v="0"/>
    <x v="3"/>
    <n v="0"/>
    <n v="0"/>
    <n v="0"/>
    <n v="0"/>
    <n v="0"/>
    <n v="0"/>
    <n v="0"/>
    <n v="0"/>
    <n v="0"/>
    <n v="0.45"/>
    <n v="0"/>
    <s v="Not separated yet"/>
    <n v="0"/>
    <n v="0"/>
    <n v="0.09"/>
    <n v="0"/>
    <n v="0"/>
    <n v="0"/>
    <n v="0"/>
    <n v="0.09"/>
    <n v="0"/>
    <m/>
    <m/>
    <s v="No more HK distribution"/>
    <n v="0"/>
    <s v="To be realised"/>
    <n v="0"/>
    <n v="0"/>
    <n v="2"/>
    <n v="0"/>
    <n v="0"/>
    <s v="Column BN to be completed"/>
    <m/>
    <n v="0"/>
    <n v="0"/>
    <n v="0"/>
    <s v="No coverage"/>
    <n v="0"/>
    <x v="0"/>
    <m/>
  </r>
  <r>
    <x v="10"/>
    <s v="MMR001CMP062"/>
    <x v="0"/>
    <x v="97"/>
    <n v="97.325019999999995"/>
    <n v="24.245100000000001"/>
    <x v="0"/>
    <x v="0"/>
    <x v="1"/>
    <x v="0"/>
    <n v="265"/>
    <n v="1084"/>
    <n v="218"/>
    <n v="218"/>
    <x v="3"/>
    <s v="HIDA, WHH,USAID,UNICEF"/>
    <s v="KMSS"/>
    <x v="1"/>
    <x v="0"/>
    <d v="2016-05-31T00:00:00"/>
    <s v="Focal NGO"/>
    <x v="0"/>
    <n v="0"/>
    <n v="0"/>
    <s v="No"/>
    <s v="No"/>
    <n v="1"/>
    <n v="0"/>
    <n v="52740"/>
    <n v="0.2"/>
    <n v="0"/>
    <m/>
    <n v="1"/>
    <n v="218"/>
    <n v="1"/>
    <n v="218"/>
    <n v="1"/>
    <n v="218"/>
    <x v="0"/>
    <n v="0"/>
    <n v="0"/>
    <n v="0"/>
    <n v="0"/>
    <n v="43.6"/>
    <n v="1"/>
    <n v="218"/>
    <m/>
    <n v="0"/>
    <n v="0"/>
    <m/>
    <n v="57"/>
    <x v="1"/>
    <x v="0"/>
    <n v="1"/>
    <n v="218"/>
    <n v="0"/>
    <n v="0"/>
    <n v="1"/>
    <n v="218"/>
    <n v="2"/>
    <n v="1"/>
    <n v="218"/>
    <n v="0"/>
    <n v="7"/>
    <s v="Separate, but not clearly perceived"/>
    <n v="1"/>
    <n v="218"/>
    <n v="3.84"/>
    <n v="1"/>
    <n v="218"/>
    <n v="13"/>
    <n v="1"/>
    <n v="0"/>
    <n v="1"/>
    <m/>
    <d v="2014-05-09T00:00:00"/>
    <s v="Blanket Consumable only"/>
    <n v="0"/>
    <s v="To be realised"/>
    <n v="153"/>
    <n v="10"/>
    <n v="265"/>
    <n v="0"/>
    <n v="0"/>
    <n v="11"/>
    <m/>
    <n v="0.85"/>
    <n v="185.29999999999998"/>
    <n v="2"/>
    <s v="Excellent coverage"/>
    <n v="0"/>
    <x v="2"/>
    <m/>
  </r>
  <r>
    <x v="10"/>
    <s v="MMR001CMP056"/>
    <x v="0"/>
    <x v="98"/>
    <n v="97.337649999999996"/>
    <n v="24.242049999999999"/>
    <x v="0"/>
    <x v="0"/>
    <x v="1"/>
    <x v="0"/>
    <n v="74"/>
    <n v="406"/>
    <n v="406"/>
    <n v="405"/>
    <x v="0"/>
    <s v="ECHO"/>
    <s v="KBC"/>
    <x v="0"/>
    <x v="0"/>
    <d v="2016-05-31T00:00:00"/>
    <s v="Focal NGO"/>
    <x v="0"/>
    <n v="0"/>
    <n v="0"/>
    <s v="No"/>
    <s v="No"/>
    <n v="0"/>
    <n v="0"/>
    <n v="27000"/>
    <n v="1"/>
    <n v="1"/>
    <s v="Ceramic Water filter"/>
    <n v="1"/>
    <n v="405"/>
    <n v="1"/>
    <n v="405"/>
    <n v="1"/>
    <n v="405"/>
    <x v="0"/>
    <n v="0"/>
    <n v="0"/>
    <n v="1.0125"/>
    <n v="74"/>
    <n v="405"/>
    <n v="1"/>
    <n v="405"/>
    <s v="1 DTW in this camp"/>
    <n v="0"/>
    <n v="0"/>
    <m/>
    <n v="18"/>
    <x v="0"/>
    <x v="0"/>
    <n v="0.88888888888888884"/>
    <n v="360"/>
    <n v="0"/>
    <n v="0"/>
    <n v="0.88888888888888884"/>
    <n v="360"/>
    <n v="0"/>
    <n v="0.89"/>
    <n v="360.45"/>
    <n v="2.25"/>
    <n v="3"/>
    <s v="Separate, clearly perceived"/>
    <n v="0.7407407407407407"/>
    <n v="300"/>
    <n v="1.0599999999999996"/>
    <n v="0.73892000000000002"/>
    <n v="299.26260000000002"/>
    <n v="6"/>
    <n v="1"/>
    <n v="0"/>
    <n v="1"/>
    <m/>
    <d v="2016-02-04T00:00:00"/>
    <s v="Targetted Consumable only"/>
    <n v="0.45"/>
    <d v="2017-02-03T00:00:00"/>
    <n v="67"/>
    <n v="9"/>
    <n v="7"/>
    <n v="0.90540540540540537"/>
    <n v="366.68918918918916"/>
    <n v="0"/>
    <m/>
    <n v="1"/>
    <n v="405"/>
    <n v="3"/>
    <s v="Excellent coverage"/>
    <n v="0"/>
    <x v="0"/>
    <m/>
  </r>
  <r>
    <x v="10"/>
    <s v="MMR001CMP063"/>
    <x v="0"/>
    <x v="99"/>
    <n v="97.321659999999994"/>
    <n v="24.41"/>
    <x v="1"/>
    <x v="0"/>
    <x v="2"/>
    <x v="1"/>
    <n v="28"/>
    <n v="136"/>
    <n v="136"/>
    <n v="136"/>
    <x v="1"/>
    <m/>
    <m/>
    <x v="2"/>
    <x v="1"/>
    <s v="Gap"/>
    <s v="Not documented"/>
    <x v="1"/>
    <n v="0"/>
    <n v="0"/>
    <s v="No"/>
    <s v="No"/>
    <n v="0"/>
    <n v="0"/>
    <n v="0"/>
    <n v="0"/>
    <n v="0"/>
    <m/>
    <n v="0"/>
    <n v="0"/>
    <n v="0"/>
    <n v="0"/>
    <n v="0"/>
    <n v="0"/>
    <x v="1"/>
    <n v="0"/>
    <n v="0"/>
    <n v="0.34"/>
    <n v="0"/>
    <n v="0"/>
    <n v="0"/>
    <n v="0"/>
    <m/>
    <n v="88"/>
    <n v="0"/>
    <m/>
    <n v="0"/>
    <x v="1"/>
    <x v="1"/>
    <n v="0"/>
    <n v="0"/>
    <n v="0"/>
    <n v="0"/>
    <n v="0"/>
    <n v="0"/>
    <n v="0"/>
    <n v="0"/>
    <n v="0"/>
    <n v="6.8"/>
    <n v="0"/>
    <s v="Not separated yet"/>
    <n v="0"/>
    <n v="0"/>
    <n v="1.36"/>
    <n v="0"/>
    <n v="0"/>
    <n v="0"/>
    <n v="0"/>
    <n v="1.36"/>
    <n v="0"/>
    <m/>
    <m/>
    <s v="No more HK distribution"/>
    <n v="0"/>
    <s v="To be realised"/>
    <n v="0"/>
    <n v="0"/>
    <n v="28"/>
    <n v="0"/>
    <n v="0"/>
    <s v="Column BN to be completed"/>
    <m/>
    <n v="0"/>
    <n v="0"/>
    <n v="0"/>
    <s v="No coverage"/>
    <n v="0"/>
    <x v="2"/>
    <m/>
  </r>
  <r>
    <x v="10"/>
    <s v="MMR001CMP058"/>
    <x v="0"/>
    <x v="100"/>
    <n v="97.346940000000004"/>
    <n v="24.251860000000001"/>
    <x v="0"/>
    <x v="0"/>
    <x v="0"/>
    <x v="0"/>
    <n v="4"/>
    <n v="16"/>
    <n v="17"/>
    <n v="17"/>
    <x v="1"/>
    <s v="HIDA, WHH,USAID,UNICEF"/>
    <s v="Shalom"/>
    <x v="1"/>
    <x v="0"/>
    <d v="2016-05-31T00:00:00"/>
    <s v="Focal NGO"/>
    <x v="0"/>
    <n v="0"/>
    <n v="0"/>
    <s v="No"/>
    <s v="No"/>
    <n v="2"/>
    <n v="0"/>
    <n v="720"/>
    <n v="0"/>
    <n v="0"/>
    <m/>
    <n v="1"/>
    <n v="17"/>
    <n v="1"/>
    <n v="17"/>
    <n v="1"/>
    <n v="17"/>
    <x v="0"/>
    <n v="0"/>
    <n v="0"/>
    <n v="0"/>
    <n v="0"/>
    <n v="0"/>
    <n v="1"/>
    <n v="17"/>
    <m/>
    <n v="63"/>
    <n v="0"/>
    <m/>
    <n v="4"/>
    <x v="0"/>
    <x v="1"/>
    <n v="1"/>
    <n v="17"/>
    <n v="0"/>
    <n v="0"/>
    <n v="1"/>
    <n v="17"/>
    <n v="0"/>
    <n v="1"/>
    <n v="17"/>
    <n v="0"/>
    <n v="2"/>
    <s v="Separate, clearly perceived"/>
    <n v="1"/>
    <n v="17"/>
    <n v="0"/>
    <n v="1"/>
    <n v="17"/>
    <n v="1"/>
    <n v="1"/>
    <n v="0"/>
    <n v="1"/>
    <m/>
    <d v="2014-05-12T00:00:00"/>
    <s v="Blanket Consumable only"/>
    <n v="0"/>
    <s v="To be realised"/>
    <n v="4"/>
    <n v="10"/>
    <n v="4"/>
    <n v="0"/>
    <n v="0"/>
    <n v="11"/>
    <m/>
    <n v="0.8"/>
    <n v="13.600000000000001"/>
    <n v="0"/>
    <s v="No coverage"/>
    <n v="0"/>
    <x v="2"/>
    <m/>
  </r>
  <r>
    <x v="10"/>
    <s v="MMR001CMP056"/>
    <x v="0"/>
    <x v="101"/>
    <n v="97.344359999999995"/>
    <n v="24.250689999999999"/>
    <x v="0"/>
    <x v="0"/>
    <x v="0"/>
    <x v="0"/>
    <n v="413"/>
    <n v="1835"/>
    <n v="306"/>
    <n v="306"/>
    <x v="3"/>
    <s v="HIDA, WHH,USAID,UNICEF"/>
    <s v="KBC"/>
    <x v="1"/>
    <x v="0"/>
    <d v="2016-05-31T00:00:00"/>
    <s v="Focal NGO"/>
    <x v="0"/>
    <n v="0"/>
    <n v="0"/>
    <s v="Yes"/>
    <s v="No"/>
    <n v="1"/>
    <n v="0"/>
    <n v="15020"/>
    <n v="0.1"/>
    <n v="0.01"/>
    <s v="Ceramic Water filter"/>
    <n v="1"/>
    <n v="306"/>
    <n v="1"/>
    <n v="306"/>
    <n v="1"/>
    <n v="306"/>
    <x v="0"/>
    <n v="0"/>
    <n v="0"/>
    <n v="0"/>
    <n v="4.13"/>
    <n v="30.6"/>
    <n v="1"/>
    <n v="306"/>
    <s v="Metta implemented Bio sand filter pilot project"/>
    <n v="0"/>
    <n v="10"/>
    <m/>
    <n v="10"/>
    <x v="0"/>
    <x v="1"/>
    <n v="1"/>
    <n v="306"/>
    <n v="0.34640522875816993"/>
    <n v="106"/>
    <n v="0.65359477124183007"/>
    <n v="200"/>
    <n v="0"/>
    <n v="1"/>
    <n v="306"/>
    <n v="5.3000000000000007"/>
    <n v="3"/>
    <s v="Separate, clearly perceived"/>
    <n v="0.98039215686274506"/>
    <n v="300"/>
    <n v="15.350000000000001"/>
    <n v="0.98"/>
    <n v="299.88"/>
    <n v="7"/>
    <n v="1"/>
    <n v="11.350000000000001"/>
    <n v="1"/>
    <m/>
    <d v="2014-05-09T00:00:00"/>
    <s v="Blanket Consumable only"/>
    <n v="0"/>
    <s v="To be realised"/>
    <n v="209"/>
    <n v="10"/>
    <n v="413"/>
    <n v="0"/>
    <n v="0"/>
    <n v="11"/>
    <m/>
    <n v="0.75"/>
    <n v="229.5"/>
    <n v="1"/>
    <s v="Excellent coverage"/>
    <n v="0"/>
    <x v="0"/>
    <m/>
  </r>
  <r>
    <x v="10"/>
    <s v="MMR001CMP197"/>
    <x v="0"/>
    <x v="102"/>
    <n v="97.344350000000006"/>
    <n v="24.25067"/>
    <x v="1"/>
    <x v="0"/>
    <x v="0"/>
    <x v="1"/>
    <n v="320"/>
    <n v="1125"/>
    <n v="1504"/>
    <n v="1504"/>
    <x v="3"/>
    <m/>
    <m/>
    <x v="2"/>
    <x v="1"/>
    <s v="Gap"/>
    <s v="Not documented"/>
    <x v="1"/>
    <n v="0"/>
    <n v="0"/>
    <s v="No"/>
    <s v="No"/>
    <n v="150"/>
    <n v="63"/>
    <n v="0"/>
    <n v="0"/>
    <n v="0"/>
    <m/>
    <n v="1"/>
    <n v="1504"/>
    <n v="1"/>
    <n v="1504"/>
    <n v="1"/>
    <n v="1504"/>
    <x v="0"/>
    <n v="0"/>
    <n v="0"/>
    <n v="0"/>
    <n v="0"/>
    <n v="0"/>
    <n v="1"/>
    <n v="1504"/>
    <m/>
    <n v="50"/>
    <n v="276"/>
    <m/>
    <n v="9"/>
    <x v="1"/>
    <x v="1"/>
    <n v="1"/>
    <n v="1504"/>
    <n v="0.88031914893617025"/>
    <n v="1324"/>
    <n v="0.11968085106382979"/>
    <n v="180"/>
    <n v="0"/>
    <n v="1"/>
    <n v="1504"/>
    <n v="66.2"/>
    <n v="213"/>
    <s v="Not separated yet"/>
    <n v="1"/>
    <n v="1504"/>
    <n v="0"/>
    <n v="1"/>
    <n v="1504"/>
    <n v="0"/>
    <n v="0"/>
    <n v="11.25"/>
    <n v="0"/>
    <m/>
    <d v="2014-12-19T00:00:00"/>
    <s v="Blanket Full HK only"/>
    <n v="0.85"/>
    <s v="To be realised"/>
    <n v="351"/>
    <n v="0"/>
    <n v="320"/>
    <n v="0"/>
    <n v="0"/>
    <n v="14"/>
    <m/>
    <n v="0"/>
    <n v="0"/>
    <n v="4"/>
    <s v="Excellent coverage"/>
    <n v="0"/>
    <x v="1"/>
    <m/>
  </r>
  <r>
    <x v="10"/>
    <s v="MMR001CMP061"/>
    <x v="0"/>
    <x v="103"/>
    <n v="97.406239999999997"/>
    <n v="24.40457"/>
    <x v="1"/>
    <x v="0"/>
    <x v="2"/>
    <x v="1"/>
    <n v="13"/>
    <n v="53"/>
    <n v="53"/>
    <n v="53"/>
    <x v="1"/>
    <m/>
    <m/>
    <x v="2"/>
    <x v="1"/>
    <s v="Gap"/>
    <s v="Not documented"/>
    <x v="1"/>
    <n v="0"/>
    <n v="0"/>
    <s v="No"/>
    <s v="No"/>
    <n v="0"/>
    <n v="0"/>
    <n v="0"/>
    <n v="0"/>
    <n v="0"/>
    <m/>
    <n v="0"/>
    <n v="0"/>
    <n v="0"/>
    <n v="0"/>
    <n v="0"/>
    <n v="0"/>
    <x v="1"/>
    <n v="0"/>
    <n v="0"/>
    <n v="0.13250000000000001"/>
    <n v="0"/>
    <n v="0"/>
    <n v="0"/>
    <n v="0"/>
    <m/>
    <n v="84"/>
    <n v="0"/>
    <m/>
    <n v="0"/>
    <x v="1"/>
    <x v="1"/>
    <n v="0"/>
    <n v="0"/>
    <n v="0"/>
    <n v="0"/>
    <n v="0"/>
    <n v="0"/>
    <n v="0"/>
    <n v="0"/>
    <n v="0"/>
    <n v="2.65"/>
    <n v="0"/>
    <s v="Not separated yet"/>
    <n v="0"/>
    <n v="0"/>
    <n v="0.53"/>
    <n v="0"/>
    <n v="0"/>
    <n v="0"/>
    <n v="0"/>
    <n v="0.53"/>
    <n v="0"/>
    <m/>
    <m/>
    <s v="No more HK distribution"/>
    <n v="0"/>
    <s v="To be realised"/>
    <n v="0"/>
    <n v="0"/>
    <n v="13"/>
    <n v="0"/>
    <n v="0"/>
    <s v="Column BN to be completed"/>
    <m/>
    <n v="0"/>
    <n v="0"/>
    <n v="9"/>
    <s v="Excellent coverage"/>
    <n v="0"/>
    <x v="1"/>
    <m/>
  </r>
  <r>
    <x v="10"/>
    <s v="MMR001CMP131"/>
    <x v="4"/>
    <x v="104"/>
    <n v="97.669366999999994"/>
    <n v="24.378167000000001"/>
    <x v="0"/>
    <x v="1"/>
    <x v="2"/>
    <x v="0"/>
    <n v="412"/>
    <n v="1700"/>
    <n v="1633"/>
    <n v="1633"/>
    <x v="3"/>
    <s v="UNICEF"/>
    <s v="KMSS"/>
    <x v="5"/>
    <x v="0"/>
    <d v="2016-08-31T00:00:00"/>
    <s v="Focal NGO"/>
    <x v="0"/>
    <n v="0"/>
    <n v="0"/>
    <s v="No"/>
    <s v="No"/>
    <n v="0"/>
    <n v="0"/>
    <n v="216000"/>
    <n v="0"/>
    <n v="1"/>
    <s v="Water Filter Made in China"/>
    <n v="1"/>
    <n v="1633"/>
    <n v="1"/>
    <n v="1633"/>
    <n v="1"/>
    <n v="1633"/>
    <x v="0"/>
    <n v="0"/>
    <n v="0"/>
    <n v="4.0824999999999996"/>
    <n v="412"/>
    <n v="0"/>
    <n v="1"/>
    <n v="1633"/>
    <m/>
    <n v="10"/>
    <n v="50"/>
    <m/>
    <n v="54"/>
    <x v="0"/>
    <x v="1"/>
    <n v="1"/>
    <n v="1633"/>
    <n v="0.33864053888548684"/>
    <n v="553"/>
    <n v="0.66135946111451316"/>
    <n v="1080"/>
    <n v="18"/>
    <n v="1"/>
    <n v="1633"/>
    <n v="45.650000000000006"/>
    <n v="7"/>
    <s v="Not separated yet"/>
    <n v="0.42865890998162892"/>
    <n v="700"/>
    <n v="10"/>
    <n v="0.43"/>
    <n v="702.18999999999994"/>
    <n v="10"/>
    <n v="0.61236987140232702"/>
    <n v="7"/>
    <n v="0.61"/>
    <m/>
    <d v="2014-12-23T00:00:00"/>
    <s v="Blanket Full HK only"/>
    <n v="0"/>
    <s v="To be realised"/>
    <n v="378"/>
    <n v="0"/>
    <n v="412"/>
    <n v="0"/>
    <n v="0"/>
    <n v="13"/>
    <m/>
    <n v="1"/>
    <n v="1633"/>
    <n v="14"/>
    <s v="Excellent coverage"/>
    <n v="0"/>
    <x v="2"/>
    <m/>
  </r>
  <r>
    <x v="10"/>
    <s v="MMR001CMP059"/>
    <x v="0"/>
    <x v="105"/>
    <n v="97.347740000000002"/>
    <n v="24.253769999999999"/>
    <x v="0"/>
    <x v="0"/>
    <x v="2"/>
    <x v="0"/>
    <n v="23"/>
    <n v="89"/>
    <n v="92"/>
    <n v="89"/>
    <x v="1"/>
    <s v="ECHO"/>
    <s v="Shalom"/>
    <x v="0"/>
    <x v="0"/>
    <d v="2016-05-31T00:00:00"/>
    <s v="Focal NGO"/>
    <x v="0"/>
    <n v="0"/>
    <n v="0"/>
    <s v="No"/>
    <s v="No"/>
    <n v="0"/>
    <n v="0"/>
    <n v="3600"/>
    <n v="0"/>
    <n v="1"/>
    <s v="Ceramic Water filter"/>
    <n v="1"/>
    <n v="89"/>
    <n v="1"/>
    <n v="89"/>
    <n v="1"/>
    <n v="89"/>
    <x v="0"/>
    <n v="0"/>
    <n v="0"/>
    <n v="0.2225"/>
    <n v="23"/>
    <n v="0"/>
    <n v="1"/>
    <n v="89"/>
    <s v="TDC water supply"/>
    <n v="0"/>
    <n v="1"/>
    <m/>
    <n v="3"/>
    <x v="0"/>
    <x v="0"/>
    <n v="0.898876404494382"/>
    <n v="80"/>
    <n v="0.2247191011235955"/>
    <n v="20"/>
    <n v="0.6741573033707865"/>
    <n v="60"/>
    <n v="0"/>
    <n v="0.9"/>
    <n v="80.100000000000009"/>
    <n v="1.4500000000000002"/>
    <n v="1"/>
    <s v="Not separated yet"/>
    <n v="1"/>
    <n v="89"/>
    <n v="0"/>
    <n v="1"/>
    <n v="89"/>
    <n v="2"/>
    <n v="1"/>
    <n v="0"/>
    <n v="1"/>
    <m/>
    <d v="2016-02-04T00:00:00"/>
    <s v="Targetted Consumable only"/>
    <n v="0.45"/>
    <d v="2017-02-03T00:00:00"/>
    <n v="20"/>
    <n v="9"/>
    <n v="3"/>
    <n v="0.86956521739130432"/>
    <n v="77.391304347826079"/>
    <n v="0"/>
    <m/>
    <n v="1"/>
    <n v="89"/>
    <n v="1"/>
    <s v="Excellent coverage"/>
    <n v="0"/>
    <x v="0"/>
    <m/>
  </r>
  <r>
    <x v="10"/>
    <s v="MMR001CMP126"/>
    <x v="4"/>
    <x v="106"/>
    <n v="97.755750000000006"/>
    <n v="24.273479999999999"/>
    <x v="0"/>
    <x v="1"/>
    <x v="2"/>
    <x v="0"/>
    <n v="840"/>
    <n v="3249"/>
    <n v="1342"/>
    <n v="1342"/>
    <x v="2"/>
    <s v="UNICEF"/>
    <s v="KMSS"/>
    <x v="5"/>
    <x v="0"/>
    <d v="2016-08-31T00:00:00"/>
    <s v="Focal NGO"/>
    <x v="0"/>
    <n v="0"/>
    <n v="0"/>
    <s v="No"/>
    <s v="No"/>
    <n v="0"/>
    <n v="0"/>
    <n v="99540"/>
    <n v="0"/>
    <n v="0.5"/>
    <s v="Water Filter Made in China"/>
    <n v="1"/>
    <n v="1342"/>
    <n v="1"/>
    <n v="1342"/>
    <n v="1"/>
    <n v="1342"/>
    <x v="0"/>
    <n v="0"/>
    <n v="0"/>
    <n v="3.355"/>
    <n v="420"/>
    <n v="0"/>
    <n v="1"/>
    <n v="1342"/>
    <m/>
    <n v="78"/>
    <n v="0"/>
    <m/>
    <n v="70"/>
    <x v="0"/>
    <x v="1"/>
    <n v="1"/>
    <n v="1342"/>
    <n v="0"/>
    <n v="0"/>
    <n v="1"/>
    <n v="1342"/>
    <n v="0"/>
    <n v="1"/>
    <n v="1342"/>
    <n v="0"/>
    <n v="2"/>
    <s v="Separate, but not clearly perceived"/>
    <n v="0.14903129657228018"/>
    <n v="200"/>
    <n v="30.490000000000002"/>
    <n v="0.15"/>
    <n v="201.29999999999998"/>
    <n v="53"/>
    <n v="1"/>
    <n v="0"/>
    <n v="1"/>
    <m/>
    <d v="2014-12-23T00:00:00"/>
    <s v="Blanket Full HK only"/>
    <n v="0"/>
    <s v="To be realised"/>
    <n v="322"/>
    <n v="3"/>
    <n v="840"/>
    <n v="0"/>
    <n v="0"/>
    <n v="10"/>
    <m/>
    <n v="1"/>
    <n v="1342"/>
    <n v="2"/>
    <s v="Good coverage"/>
    <n v="0"/>
    <x v="2"/>
    <m/>
  </r>
  <r>
    <x v="10"/>
    <s v="MMR001CMP126"/>
    <x v="4"/>
    <x v="107"/>
    <n v="97.754009999999994"/>
    <n v="24.275549999999999"/>
    <x v="0"/>
    <x v="1"/>
    <x v="2"/>
    <x v="0"/>
    <n v="50"/>
    <n v="251"/>
    <n v="251"/>
    <n v="251"/>
    <x v="1"/>
    <s v="UNICEF"/>
    <s v="KMSS"/>
    <x v="5"/>
    <x v="0"/>
    <d v="2016-08-31T00:00:00"/>
    <s v="Focal NGO"/>
    <x v="0"/>
    <n v="0"/>
    <n v="0"/>
    <s v="No"/>
    <s v="No"/>
    <n v="0"/>
    <n v="0"/>
    <n v="8640"/>
    <n v="0"/>
    <n v="0"/>
    <m/>
    <n v="1"/>
    <n v="251"/>
    <n v="1"/>
    <n v="251"/>
    <n v="1"/>
    <n v="251"/>
    <x v="0"/>
    <n v="0"/>
    <n v="0"/>
    <n v="0.62749999999999995"/>
    <n v="0"/>
    <n v="0"/>
    <n v="1"/>
    <n v="251"/>
    <m/>
    <n v="81"/>
    <n v="0"/>
    <m/>
    <n v="27"/>
    <x v="0"/>
    <x v="1"/>
    <n v="1"/>
    <n v="251"/>
    <n v="0"/>
    <n v="0"/>
    <n v="1"/>
    <n v="251"/>
    <n v="0"/>
    <n v="1"/>
    <n v="251"/>
    <n v="0"/>
    <n v="3"/>
    <s v="Not separated yet"/>
    <n v="1"/>
    <n v="251"/>
    <n v="0"/>
    <n v="1"/>
    <n v="251"/>
    <n v="18"/>
    <n v="1"/>
    <n v="0"/>
    <n v="1"/>
    <m/>
    <d v="2014-12-23T00:00:00"/>
    <s v="Blanket Full HK only"/>
    <n v="0"/>
    <s v="To be realised"/>
    <n v="58"/>
    <n v="0"/>
    <n v="50"/>
    <n v="0"/>
    <n v="0"/>
    <n v="13"/>
    <m/>
    <n v="1"/>
    <n v="251"/>
    <n v="0"/>
    <s v="No coverage"/>
    <n v="0"/>
    <x v="2"/>
    <m/>
  </r>
  <r>
    <x v="10"/>
    <s v="MMR001CMP126"/>
    <x v="4"/>
    <x v="108"/>
    <n v="97.751050000000006"/>
    <n v="24.279910000000001"/>
    <x v="0"/>
    <x v="1"/>
    <x v="2"/>
    <x v="0"/>
    <n v="108"/>
    <n v="538"/>
    <n v="538"/>
    <n v="538"/>
    <x v="0"/>
    <s v="UNICEF"/>
    <s v="KMSS"/>
    <x v="5"/>
    <x v="0"/>
    <d v="2016-08-31T00:00:00"/>
    <s v="Focal NGO"/>
    <x v="0"/>
    <n v="0"/>
    <n v="0"/>
    <s v="No"/>
    <s v="No"/>
    <n v="0"/>
    <n v="0"/>
    <n v="94000"/>
    <n v="0"/>
    <n v="0.5"/>
    <s v="Water Filter Made in China"/>
    <n v="1"/>
    <n v="538"/>
    <n v="1"/>
    <n v="538"/>
    <n v="1"/>
    <n v="538"/>
    <x v="0"/>
    <n v="0"/>
    <n v="0"/>
    <n v="1.345"/>
    <n v="54"/>
    <n v="0"/>
    <n v="1"/>
    <n v="538"/>
    <m/>
    <n v="2"/>
    <n v="10"/>
    <m/>
    <n v="30"/>
    <x v="0"/>
    <x v="1"/>
    <n v="1"/>
    <n v="538"/>
    <n v="0"/>
    <n v="0"/>
    <n v="1"/>
    <n v="538"/>
    <n v="0"/>
    <n v="1"/>
    <n v="538"/>
    <n v="0"/>
    <n v="4"/>
    <s v="Separate, but not clearly perceived"/>
    <n v="0.74349442379182151"/>
    <n v="400"/>
    <n v="1.38"/>
    <n v="0.74"/>
    <n v="398.12"/>
    <n v="16"/>
    <n v="1"/>
    <n v="0"/>
    <n v="1"/>
    <m/>
    <d v="2014-12-23T00:00:00"/>
    <s v="Blanket Full HK only"/>
    <n v="0"/>
    <s v="To be realised"/>
    <n v="228"/>
    <n v="0"/>
    <n v="108"/>
    <n v="0"/>
    <n v="0"/>
    <n v="13"/>
    <m/>
    <n v="1"/>
    <n v="538"/>
    <n v="0"/>
    <s v="No coverage"/>
    <n v="0"/>
    <x v="2"/>
    <m/>
  </r>
  <r>
    <x v="10"/>
    <s v="MMR001CMP126"/>
    <x v="4"/>
    <x v="109"/>
    <n v="97.740570000000005"/>
    <n v="24.266819999999999"/>
    <x v="2"/>
    <x v="1"/>
    <x v="2"/>
    <x v="2"/>
    <m/>
    <m/>
    <n v="333"/>
    <n v="333"/>
    <x v="1"/>
    <s v="UNICEF"/>
    <s v="KMSS"/>
    <x v="5"/>
    <x v="0"/>
    <d v="2016-08-31T00:00:00"/>
    <s v="Focal NGO"/>
    <x v="0"/>
    <n v="0"/>
    <n v="0"/>
    <s v="No"/>
    <s v="No"/>
    <n v="0"/>
    <n v="0"/>
    <n v="8640"/>
    <n v="0"/>
    <n v="0"/>
    <m/>
    <n v="1"/>
    <n v="333"/>
    <n v="1"/>
    <n v="333"/>
    <n v="1"/>
    <n v="333"/>
    <x v="0"/>
    <n v="0"/>
    <n v="0"/>
    <n v="0.83250000000000002"/>
    <n v="0"/>
    <n v="0"/>
    <n v="1"/>
    <n v="333"/>
    <m/>
    <n v="0"/>
    <n v="0"/>
    <m/>
    <n v="27"/>
    <x v="0"/>
    <x v="1"/>
    <n v="1"/>
    <n v="333"/>
    <n v="0"/>
    <n v="0"/>
    <n v="1"/>
    <n v="333"/>
    <n v="0"/>
    <n v="1"/>
    <n v="333"/>
    <n v="0"/>
    <n v="4"/>
    <s v="Separate, but not clearly perceived"/>
    <n v="1"/>
    <n v="333"/>
    <n v="0"/>
    <n v="1"/>
    <n v="333"/>
    <n v="4"/>
    <n v="1"/>
    <n v="0"/>
    <n v="1"/>
    <m/>
    <d v="2014-12-23T00:00:00"/>
    <s v="Blanket Full HK only"/>
    <n v="0"/>
    <s v="To be realised"/>
    <n v="0"/>
    <n v="0"/>
    <n v="0"/>
    <n v="1"/>
    <n v="333"/>
    <n v="13"/>
    <m/>
    <n v="0"/>
    <n v="0"/>
    <n v="0"/>
    <s v="No coverage"/>
    <n v="0"/>
    <x v="2"/>
    <m/>
  </r>
  <r>
    <x v="10"/>
    <s v="MMR001CMP126"/>
    <x v="4"/>
    <x v="110"/>
    <n v="97.758769999999998"/>
    <n v="24.255469999999999"/>
    <x v="2"/>
    <x v="1"/>
    <x v="2"/>
    <x v="2"/>
    <m/>
    <m/>
    <n v="506"/>
    <n v="506"/>
    <x v="1"/>
    <s v="UNICEF"/>
    <s v="KMSS"/>
    <x v="5"/>
    <x v="0"/>
    <d v="2016-08-31T00:00:00"/>
    <s v="Focal NGO"/>
    <x v="0"/>
    <n v="0"/>
    <n v="0"/>
    <s v="No"/>
    <s v="No"/>
    <n v="0"/>
    <n v="0"/>
    <n v="24300"/>
    <n v="0"/>
    <n v="0"/>
    <m/>
    <n v="1"/>
    <n v="506"/>
    <n v="1"/>
    <n v="506"/>
    <n v="1"/>
    <n v="506"/>
    <x v="0"/>
    <n v="0"/>
    <n v="0"/>
    <n v="1.2649999999999999"/>
    <n v="0"/>
    <n v="0"/>
    <n v="1"/>
    <n v="506"/>
    <m/>
    <n v="27"/>
    <n v="6"/>
    <m/>
    <n v="16"/>
    <x v="2"/>
    <x v="0"/>
    <n v="0.86956521739130432"/>
    <n v="440"/>
    <n v="0.23715415019762842"/>
    <n v="119.99999999999999"/>
    <n v="0.6324110671936759"/>
    <n v="320"/>
    <n v="0"/>
    <n v="0.873"/>
    <n v="441.738"/>
    <n v="9.3000000000000007"/>
    <n v="1"/>
    <s v="Separate, clearly perceived"/>
    <n v="0.19762845849802371"/>
    <n v="100"/>
    <n v="0"/>
    <n v="0.2"/>
    <n v="101.2"/>
    <n v="2"/>
    <n v="0.39525691699604742"/>
    <n v="0"/>
    <n v="0.4"/>
    <m/>
    <d v="2014-12-23T00:00:00"/>
    <s v="Blanket Full HK only"/>
    <n v="0"/>
    <s v="To be realised"/>
    <n v="0"/>
    <n v="0"/>
    <n v="0"/>
    <n v="1"/>
    <n v="506"/>
    <n v="13"/>
    <m/>
    <n v="0"/>
    <n v="0"/>
    <n v="2"/>
    <s v="Excellent coverage"/>
    <n v="0"/>
    <x v="2"/>
    <m/>
  </r>
  <r>
    <x v="10"/>
    <s v="MMR001CMP126"/>
    <x v="4"/>
    <x v="111"/>
    <n v="97.758769999999998"/>
    <n v="24.255469999999999"/>
    <x v="1"/>
    <x v="1"/>
    <x v="2"/>
    <x v="1"/>
    <n v="65"/>
    <n v="326"/>
    <n v="326"/>
    <n v="326"/>
    <x v="0"/>
    <s v="UNICEF"/>
    <s v="KMSS"/>
    <x v="5"/>
    <x v="0"/>
    <d v="2016-08-31T00:00:00"/>
    <s v="Focal NGO"/>
    <x v="0"/>
    <n v="0"/>
    <n v="0"/>
    <s v="No"/>
    <s v="No"/>
    <n v="0"/>
    <n v="0"/>
    <n v="10631"/>
    <n v="0"/>
    <n v="0"/>
    <m/>
    <n v="1"/>
    <n v="326"/>
    <n v="1"/>
    <n v="326"/>
    <n v="1"/>
    <n v="326"/>
    <x v="0"/>
    <n v="0"/>
    <n v="0"/>
    <n v="0.81499999999999995"/>
    <n v="0"/>
    <n v="0"/>
    <n v="1"/>
    <n v="326"/>
    <m/>
    <n v="0"/>
    <n v="78"/>
    <m/>
    <n v="0"/>
    <x v="2"/>
    <x v="3"/>
    <n v="1"/>
    <n v="326"/>
    <n v="1"/>
    <n v="326"/>
    <n v="0"/>
    <n v="0"/>
    <n v="0"/>
    <n v="1"/>
    <n v="326"/>
    <n v="16.3"/>
    <n v="0"/>
    <s v="Not separated yet"/>
    <n v="0"/>
    <n v="0"/>
    <n v="3.26"/>
    <n v="0"/>
    <n v="0"/>
    <n v="0"/>
    <n v="0"/>
    <n v="3.26"/>
    <n v="0"/>
    <m/>
    <d v="2014-12-23T00:00:00"/>
    <s v="Blanket Full HK only"/>
    <n v="0"/>
    <s v="To be realised"/>
    <n v="78"/>
    <n v="0"/>
    <n v="65"/>
    <n v="0"/>
    <n v="0"/>
    <n v="13"/>
    <m/>
    <n v="0"/>
    <n v="0"/>
    <n v="1"/>
    <s v="Excellent coverage"/>
    <n v="0"/>
    <x v="0"/>
    <m/>
  </r>
  <r>
    <x v="10"/>
    <s v="MMR001CMP126"/>
    <x v="4"/>
    <x v="112"/>
    <n v="97.755750000000006"/>
    <n v="24.273479999999999"/>
    <x v="2"/>
    <x v="1"/>
    <x v="2"/>
    <x v="2"/>
    <m/>
    <m/>
    <n v="211"/>
    <n v="211"/>
    <x v="1"/>
    <s v="UNICEF"/>
    <s v="KMSS"/>
    <x v="5"/>
    <x v="0"/>
    <d v="2016-08-31T00:00:00"/>
    <s v="Focal NGO"/>
    <x v="0"/>
    <n v="0"/>
    <n v="0"/>
    <s v="No"/>
    <s v="No"/>
    <n v="0"/>
    <n v="0"/>
    <n v="9000"/>
    <n v="0"/>
    <n v="0"/>
    <m/>
    <n v="1"/>
    <n v="211"/>
    <n v="1"/>
    <n v="211"/>
    <n v="1"/>
    <n v="211"/>
    <x v="0"/>
    <n v="0"/>
    <n v="0"/>
    <n v="0.52749999999999997"/>
    <n v="0"/>
    <n v="0"/>
    <n v="1"/>
    <n v="211"/>
    <m/>
    <n v="0"/>
    <n v="6"/>
    <m/>
    <n v="0"/>
    <x v="2"/>
    <x v="3"/>
    <n v="0.56872037914691942"/>
    <n v="120"/>
    <n v="0.56872037914691942"/>
    <n v="120"/>
    <n v="0"/>
    <n v="0"/>
    <n v="0"/>
    <n v="0.57299999999999995"/>
    <n v="120.90299999999999"/>
    <n v="10.55"/>
    <n v="2"/>
    <s v="Separate, clearly perceived"/>
    <n v="0.94786729857819907"/>
    <n v="200"/>
    <n v="0"/>
    <n v="0.95"/>
    <n v="200.45"/>
    <n v="0"/>
    <n v="0"/>
    <n v="0"/>
    <n v="0"/>
    <m/>
    <d v="2014-12-23T00:00:00"/>
    <s v="Blanket Full HK only"/>
    <n v="0"/>
    <s v="To be realised"/>
    <n v="0"/>
    <n v="0"/>
    <n v="0"/>
    <n v="1"/>
    <n v="211"/>
    <n v="13"/>
    <m/>
    <n v="0"/>
    <n v="0"/>
    <n v="0"/>
    <s v="No coverage"/>
    <n v="0"/>
    <x v="2"/>
    <m/>
  </r>
  <r>
    <x v="10"/>
    <s v="MMR001CMP065"/>
    <x v="0"/>
    <x v="113"/>
    <n v="97.429860000000005"/>
    <n v="24.630859999999998"/>
    <x v="1"/>
    <x v="0"/>
    <x v="2"/>
    <x v="1"/>
    <n v="39"/>
    <n v="176"/>
    <m/>
    <n v="176"/>
    <x v="1"/>
    <m/>
    <m/>
    <x v="2"/>
    <x v="1"/>
    <s v="Gap"/>
    <s v="Not documented"/>
    <x v="1"/>
    <n v="0"/>
    <n v="0"/>
    <s v="No"/>
    <s v="No"/>
    <n v="0"/>
    <n v="0"/>
    <n v="0"/>
    <n v="0"/>
    <n v="0"/>
    <m/>
    <n v="0"/>
    <n v="0"/>
    <n v="0"/>
    <n v="0"/>
    <n v="0"/>
    <n v="0"/>
    <x v="1"/>
    <n v="0"/>
    <n v="0"/>
    <n v="0.44"/>
    <n v="0"/>
    <n v="0"/>
    <n v="0"/>
    <n v="0"/>
    <m/>
    <n v="0"/>
    <n v="0"/>
    <m/>
    <n v="1"/>
    <x v="2"/>
    <x v="0"/>
    <n v="0.11363636363636363"/>
    <n v="20"/>
    <n v="0"/>
    <n v="0"/>
    <n v="0.11363636363636363"/>
    <n v="20"/>
    <n v="0"/>
    <n v="0.11"/>
    <n v="19.36"/>
    <n v="7.8000000000000007"/>
    <n v="0"/>
    <s v="Not separated yet"/>
    <n v="0"/>
    <n v="0"/>
    <n v="1.76"/>
    <n v="0"/>
    <n v="0"/>
    <n v="0"/>
    <n v="0"/>
    <n v="1.76"/>
    <n v="0"/>
    <m/>
    <m/>
    <m/>
    <m/>
    <s v="To be realised"/>
    <n v="0"/>
    <n v="0"/>
    <n v="39"/>
    <n v="0"/>
    <n v="0"/>
    <s v="Column BN to be completed"/>
    <m/>
    <n v="0"/>
    <n v="0"/>
    <n v="2"/>
    <s v="Excellent coverage"/>
    <n v="0"/>
    <x v="1"/>
    <m/>
  </r>
  <r>
    <x v="10"/>
    <s v="MMR001CMP060"/>
    <x v="0"/>
    <x v="114"/>
    <n v="97.417240000000007"/>
    <n v="24.49184"/>
    <x v="1"/>
    <x v="0"/>
    <x v="2"/>
    <x v="1"/>
    <n v="10"/>
    <n v="38"/>
    <n v="38"/>
    <n v="38"/>
    <x v="1"/>
    <m/>
    <m/>
    <x v="2"/>
    <x v="1"/>
    <s v="Gap"/>
    <s v="Not documented"/>
    <x v="1"/>
    <n v="0"/>
    <n v="0"/>
    <s v="No"/>
    <s v="No"/>
    <n v="0"/>
    <n v="0"/>
    <n v="0"/>
    <n v="0"/>
    <n v="0"/>
    <m/>
    <n v="0"/>
    <n v="0"/>
    <n v="0"/>
    <n v="0"/>
    <n v="0"/>
    <n v="0"/>
    <x v="1"/>
    <n v="0"/>
    <n v="0"/>
    <n v="9.5000000000000001E-2"/>
    <n v="0"/>
    <n v="0"/>
    <n v="0"/>
    <n v="0"/>
    <m/>
    <n v="0"/>
    <n v="0"/>
    <m/>
    <n v="0"/>
    <x v="2"/>
    <x v="0"/>
    <n v="0"/>
    <n v="0"/>
    <n v="0"/>
    <n v="0"/>
    <n v="0"/>
    <n v="0"/>
    <n v="0"/>
    <n v="0"/>
    <n v="0"/>
    <n v="1.9"/>
    <n v="0"/>
    <s v="Not separated yet"/>
    <n v="0"/>
    <n v="0"/>
    <n v="0.38"/>
    <n v="0"/>
    <n v="0"/>
    <n v="0"/>
    <n v="0"/>
    <n v="0.38"/>
    <n v="0"/>
    <m/>
    <m/>
    <s v="No more HK distribution"/>
    <n v="0"/>
    <s v="To be realised"/>
    <n v="0"/>
    <n v="0"/>
    <n v="10"/>
    <n v="0"/>
    <n v="0"/>
    <s v="Column BN to be completed"/>
    <m/>
    <n v="0"/>
    <n v="0"/>
    <n v="2"/>
    <s v="Excellent coverage"/>
    <n v="0"/>
    <x v="1"/>
    <m/>
  </r>
  <r>
    <x v="11"/>
    <s v="MMR015CMP022"/>
    <x v="5"/>
    <x v="115"/>
    <n v="98.115809999999996"/>
    <n v="24.08738"/>
    <x v="1"/>
    <x v="1"/>
    <x v="2"/>
    <x v="1"/>
    <n v="32"/>
    <n v="187"/>
    <m/>
    <n v="187"/>
    <x v="1"/>
    <m/>
    <m/>
    <x v="2"/>
    <x v="1"/>
    <s v="Gap"/>
    <s v="Not documented"/>
    <x v="1"/>
    <n v="0"/>
    <n v="0"/>
    <s v="No"/>
    <s v="No"/>
    <n v="0"/>
    <n v="0"/>
    <n v="0"/>
    <n v="0"/>
    <n v="0"/>
    <m/>
    <n v="0"/>
    <n v="0"/>
    <n v="0"/>
    <n v="0"/>
    <n v="0"/>
    <n v="0"/>
    <x v="1"/>
    <n v="0"/>
    <n v="0"/>
    <n v="0.46750000000000003"/>
    <n v="0"/>
    <n v="0"/>
    <n v="0"/>
    <n v="0"/>
    <m/>
    <n v="0"/>
    <n v="0"/>
    <m/>
    <n v="0"/>
    <x v="2"/>
    <x v="0"/>
    <n v="0"/>
    <n v="0"/>
    <n v="0"/>
    <n v="0"/>
    <n v="0"/>
    <n v="0"/>
    <n v="0"/>
    <n v="0"/>
    <n v="0"/>
    <n v="9.35"/>
    <n v="0"/>
    <s v="Not separated yet"/>
    <n v="0"/>
    <n v="0"/>
    <n v="1.87"/>
    <n v="0"/>
    <n v="0"/>
    <n v="0"/>
    <n v="0"/>
    <n v="1.87"/>
    <n v="0"/>
    <m/>
    <m/>
    <m/>
    <m/>
    <s v="To be realised"/>
    <m/>
    <m/>
    <n v="32"/>
    <n v="0"/>
    <n v="0"/>
    <s v="Column BN to be completed"/>
    <m/>
    <n v="0"/>
    <n v="0"/>
    <n v="2"/>
    <s v="Excellent coverage"/>
    <n v="0"/>
    <x v="0"/>
    <m/>
  </r>
  <r>
    <x v="11"/>
    <s v="MMR015CMP012"/>
    <x v="5"/>
    <x v="116"/>
    <n v="98.320651999999995"/>
    <n v="24.101320999999999"/>
    <x v="1"/>
    <x v="1"/>
    <x v="0"/>
    <x v="1"/>
    <n v="32"/>
    <n v="156"/>
    <m/>
    <n v="156"/>
    <x v="1"/>
    <m/>
    <m/>
    <x v="2"/>
    <x v="1"/>
    <s v="Gap"/>
    <s v="Not documented"/>
    <x v="1"/>
    <n v="0"/>
    <n v="0"/>
    <s v="No"/>
    <s v="No"/>
    <n v="0"/>
    <n v="0"/>
    <n v="0"/>
    <n v="0"/>
    <n v="0"/>
    <m/>
    <n v="0"/>
    <n v="0"/>
    <n v="0"/>
    <n v="0"/>
    <n v="0"/>
    <n v="0"/>
    <x v="1"/>
    <n v="0"/>
    <n v="0"/>
    <n v="0.39"/>
    <n v="0"/>
    <n v="0"/>
    <n v="0"/>
    <n v="0"/>
    <m/>
    <n v="0"/>
    <n v="0"/>
    <m/>
    <n v="0"/>
    <x v="0"/>
    <x v="0"/>
    <n v="0"/>
    <n v="0"/>
    <n v="0"/>
    <n v="0"/>
    <n v="0"/>
    <n v="0"/>
    <n v="0"/>
    <n v="0"/>
    <n v="0"/>
    <n v="7.8"/>
    <n v="0"/>
    <s v="Not separated yet"/>
    <n v="0"/>
    <n v="0"/>
    <n v="1.56"/>
    <n v="0"/>
    <n v="0"/>
    <n v="0"/>
    <n v="0"/>
    <n v="1.56"/>
    <n v="0"/>
    <m/>
    <m/>
    <m/>
    <m/>
    <s v="To be realised"/>
    <m/>
    <m/>
    <n v="32"/>
    <n v="0"/>
    <n v="0"/>
    <s v="Column BN to be completed"/>
    <m/>
    <n v="0"/>
    <n v="0"/>
    <n v="4"/>
    <s v="Excellent coverage"/>
    <n v="0"/>
    <x v="1"/>
    <m/>
  </r>
  <r>
    <x v="11"/>
    <s v="MMR015CMP005"/>
    <x v="5"/>
    <x v="117"/>
    <n v="98.054946000000001"/>
    <n v="24.008452999999999"/>
    <x v="1"/>
    <x v="1"/>
    <x v="2"/>
    <x v="1"/>
    <n v="123"/>
    <n v="503"/>
    <m/>
    <n v="503"/>
    <x v="0"/>
    <m/>
    <m/>
    <x v="2"/>
    <x v="1"/>
    <s v="Gap"/>
    <s v="Not documented"/>
    <x v="1"/>
    <n v="0"/>
    <n v="0"/>
    <s v="No"/>
    <s v="No"/>
    <n v="0"/>
    <n v="0"/>
    <n v="0"/>
    <n v="0"/>
    <n v="0"/>
    <m/>
    <n v="0"/>
    <n v="0"/>
    <n v="0"/>
    <n v="0"/>
    <n v="0"/>
    <n v="0"/>
    <x v="1"/>
    <n v="0"/>
    <n v="0"/>
    <n v="1.2575000000000001"/>
    <n v="0"/>
    <n v="0"/>
    <n v="0"/>
    <n v="0"/>
    <m/>
    <n v="2"/>
    <n v="0"/>
    <m/>
    <n v="0"/>
    <x v="2"/>
    <x v="0"/>
    <n v="0"/>
    <n v="0"/>
    <n v="0"/>
    <n v="0"/>
    <n v="0"/>
    <n v="0"/>
    <n v="0"/>
    <n v="0"/>
    <n v="0"/>
    <n v="25.15"/>
    <n v="0"/>
    <s v="Not separated yet"/>
    <n v="0"/>
    <n v="0"/>
    <n v="5.03"/>
    <n v="0"/>
    <n v="0"/>
    <n v="0"/>
    <n v="0"/>
    <n v="5.03"/>
    <n v="0"/>
    <m/>
    <m/>
    <m/>
    <m/>
    <s v="To be realised"/>
    <m/>
    <m/>
    <n v="123"/>
    <n v="0"/>
    <n v="0"/>
    <s v="Column BN to be completed"/>
    <m/>
    <n v="0"/>
    <n v="0"/>
    <n v="2"/>
    <s v="Excellent coverage"/>
    <n v="0"/>
    <x v="0"/>
    <m/>
  </r>
  <r>
    <x v="11"/>
    <s v="MMR015CMP213"/>
    <x v="5"/>
    <x v="118"/>
    <n v="97.909217999999996"/>
    <n v="24.005448999999999"/>
    <x v="0"/>
    <x v="0"/>
    <x v="0"/>
    <x v="0"/>
    <n v="56"/>
    <n v="264"/>
    <n v="240"/>
    <n v="240"/>
    <x v="0"/>
    <s v="HIDA/WHH/UNICEF"/>
    <s v="KBC"/>
    <x v="1"/>
    <x v="0"/>
    <d v="2016-05-31T00:00:00"/>
    <s v="Focal NGO"/>
    <x v="0"/>
    <n v="0"/>
    <n v="0"/>
    <s v="Yes"/>
    <s v="No"/>
    <n v="0"/>
    <n v="0"/>
    <n v="20000"/>
    <n v="1"/>
    <n v="1"/>
    <s v="Ceramic Water filter"/>
    <n v="1"/>
    <n v="240"/>
    <n v="1"/>
    <n v="240"/>
    <n v="1"/>
    <n v="240"/>
    <x v="0"/>
    <n v="0"/>
    <n v="0"/>
    <n v="0.6"/>
    <n v="56"/>
    <n v="240"/>
    <n v="1"/>
    <n v="240"/>
    <m/>
    <n v="0"/>
    <n v="0"/>
    <m/>
    <n v="16"/>
    <x v="2"/>
    <x v="1"/>
    <n v="1"/>
    <n v="240"/>
    <n v="0"/>
    <n v="0"/>
    <n v="1"/>
    <n v="240"/>
    <n v="3"/>
    <n v="1"/>
    <n v="240"/>
    <n v="0"/>
    <n v="4"/>
    <s v="Separate, clearly perceived"/>
    <n v="1"/>
    <n v="240"/>
    <n v="0"/>
    <n v="1"/>
    <n v="240"/>
    <n v="2"/>
    <n v="0.83333333333333337"/>
    <n v="0.64000000000000012"/>
    <n v="0.88"/>
    <s v="No Plan for Semi permanent latrines construction"/>
    <d v="2015-05-11T00:00:00"/>
    <s v="Blanket Consumable only"/>
    <m/>
    <d v="2016-05-10T00:00:00"/>
    <n v="81"/>
    <n v="7"/>
    <n v="0"/>
    <n v="1"/>
    <n v="240"/>
    <n v="2"/>
    <m/>
    <n v="0.5"/>
    <n v="120"/>
    <n v="4"/>
    <s v="Excellent coverage"/>
    <n v="0"/>
    <x v="2"/>
    <m/>
  </r>
  <r>
    <x v="11"/>
    <s v="MMR015CMP216"/>
    <x v="5"/>
    <x v="119"/>
    <n v="97.911671100000007"/>
    <n v="24.006896999999999"/>
    <x v="0"/>
    <x v="0"/>
    <x v="0"/>
    <x v="0"/>
    <n v="30"/>
    <n v="188"/>
    <n v="127"/>
    <n v="127"/>
    <x v="1"/>
    <m/>
    <s v="KMSS"/>
    <x v="2"/>
    <x v="1"/>
    <s v="Gap"/>
    <s v="Not documented"/>
    <x v="1"/>
    <n v="0"/>
    <n v="0"/>
    <s v="No"/>
    <s v="No"/>
    <n v="0"/>
    <n v="0"/>
    <n v="1000"/>
    <n v="0.6"/>
    <n v="0"/>
    <m/>
    <n v="0.52493438320209973"/>
    <n v="66.666666666666671"/>
    <n v="0.52493438320209973"/>
    <n v="66.666666666666671"/>
    <n v="0.52493438320209973"/>
    <n v="66.666666666666671"/>
    <x v="2"/>
    <n v="0"/>
    <n v="0"/>
    <n v="0.3175"/>
    <n v="0"/>
    <n v="76.2"/>
    <n v="1"/>
    <n v="127"/>
    <m/>
    <n v="10"/>
    <n v="7"/>
    <m/>
    <n v="0"/>
    <x v="0"/>
    <x v="0"/>
    <n v="1"/>
    <n v="127"/>
    <n v="1"/>
    <n v="127"/>
    <n v="0"/>
    <n v="0"/>
    <n v="2"/>
    <n v="1"/>
    <n v="127"/>
    <n v="8.35"/>
    <n v="2"/>
    <s v="Separate, clearly perceived"/>
    <n v="1"/>
    <n v="127"/>
    <n v="0"/>
    <n v="1"/>
    <n v="127"/>
    <n v="0"/>
    <n v="0"/>
    <n v="1.88"/>
    <n v="0"/>
    <s v="There need latrines upgrade or small latrines constructioning , no plan for hand washing space"/>
    <d v="2014-05-17T00:00:00"/>
    <s v="Blanket Consumable only"/>
    <n v="0"/>
    <s v="To be realised"/>
    <n v="80"/>
    <n v="9"/>
    <n v="30"/>
    <n v="0"/>
    <n v="0"/>
    <n v="12"/>
    <m/>
    <n v="0"/>
    <n v="0"/>
    <n v="2"/>
    <s v="Excellent coverage"/>
    <n v="0"/>
    <x v="2"/>
    <m/>
  </r>
  <r>
    <x v="12"/>
    <s v="MMR001CMP012"/>
    <x v="9"/>
    <x v="120"/>
    <n v="97.385101000000006"/>
    <n v="25.399795999999998"/>
    <x v="0"/>
    <x v="0"/>
    <x v="0"/>
    <x v="0"/>
    <n v="6"/>
    <n v="28"/>
    <n v="27"/>
    <n v="27"/>
    <x v="1"/>
    <s v="CIDA"/>
    <s v="KBC"/>
    <x v="2"/>
    <x v="1"/>
    <s v="Gap"/>
    <s v="Not documented"/>
    <x v="1"/>
    <n v="0"/>
    <n v="0"/>
    <s v="Yes"/>
    <s v="No"/>
    <n v="0"/>
    <n v="1"/>
    <n v="0"/>
    <n v="0"/>
    <n v="1"/>
    <s v="Ceramic Water filter"/>
    <n v="1"/>
    <n v="27"/>
    <n v="1"/>
    <n v="27"/>
    <n v="1"/>
    <n v="27"/>
    <x v="0"/>
    <n v="0"/>
    <n v="0"/>
    <n v="0"/>
    <n v="6"/>
    <n v="0"/>
    <n v="1"/>
    <n v="27"/>
    <m/>
    <n v="0"/>
    <n v="0"/>
    <m/>
    <n v="1"/>
    <x v="2"/>
    <x v="0"/>
    <n v="0.7407407407407407"/>
    <n v="20"/>
    <n v="0"/>
    <n v="0"/>
    <n v="0.7407407407407407"/>
    <n v="20"/>
    <n v="0"/>
    <n v="1"/>
    <n v="27"/>
    <n v="0.35000000000000009"/>
    <n v="1"/>
    <s v="Not separated yet"/>
    <n v="1"/>
    <n v="27"/>
    <n v="0"/>
    <n v="1"/>
    <n v="27"/>
    <n v="0"/>
    <n v="0"/>
    <n v="0.28000000000000003"/>
    <n v="0"/>
    <s v="old 2 Hand washing were already out of used."/>
    <d v="2015-06-18T00:00:00"/>
    <s v="Blanket Consumable only"/>
    <m/>
    <d v="2016-06-17T00:00:00"/>
    <n v="6"/>
    <n v="0"/>
    <n v="0"/>
    <n v="1"/>
    <n v="27"/>
    <n v="8"/>
    <s v="last refill HK distributed was in July 15 and it covered 3 months"/>
    <n v="0"/>
    <n v="0"/>
    <n v="2"/>
    <s v="Excellent coverage"/>
    <n v="0"/>
    <x v="0"/>
    <s v="1 temporary incinerator has been out of used"/>
  </r>
  <r>
    <x v="12"/>
    <s v="MMR001CMP010"/>
    <x v="9"/>
    <x v="121"/>
    <n v="97.383056999999994"/>
    <n v="25.395994000000002"/>
    <x v="0"/>
    <x v="0"/>
    <x v="0"/>
    <x v="0"/>
    <n v="6"/>
    <n v="39"/>
    <n v="35"/>
    <n v="35"/>
    <x v="1"/>
    <s v="CIDA"/>
    <s v="KBC"/>
    <x v="2"/>
    <x v="1"/>
    <s v="Gap"/>
    <s v="Not documented"/>
    <x v="1"/>
    <n v="0"/>
    <n v="0"/>
    <s v="Yes"/>
    <s v="No"/>
    <n v="0"/>
    <n v="1"/>
    <n v="0"/>
    <n v="0"/>
    <n v="1"/>
    <s v="Ceramic Water filter"/>
    <n v="1"/>
    <n v="35"/>
    <n v="1"/>
    <n v="35"/>
    <n v="1"/>
    <n v="35"/>
    <x v="0"/>
    <n v="0"/>
    <n v="0"/>
    <n v="0"/>
    <n v="6"/>
    <n v="0"/>
    <n v="1"/>
    <n v="35"/>
    <m/>
    <n v="0"/>
    <n v="0"/>
    <m/>
    <n v="3"/>
    <x v="2"/>
    <x v="0"/>
    <n v="1"/>
    <n v="35"/>
    <n v="0"/>
    <n v="0"/>
    <n v="1"/>
    <n v="35"/>
    <n v="0"/>
    <n v="1"/>
    <n v="35"/>
    <n v="0"/>
    <n v="1"/>
    <s v="Not separated yet"/>
    <n v="1"/>
    <n v="35"/>
    <n v="0"/>
    <n v="1"/>
    <n v="35"/>
    <n v="0"/>
    <n v="0"/>
    <n v="0.39"/>
    <n v="0"/>
    <s v="old 3 Hand washing were already out of used."/>
    <d v="2015-06-18T00:00:00"/>
    <s v="Blanket Consumable only"/>
    <m/>
    <d v="2016-06-17T00:00:00"/>
    <n v="6"/>
    <n v="0"/>
    <n v="0"/>
    <n v="1"/>
    <n v="35"/>
    <n v="8"/>
    <m/>
    <n v="0"/>
    <n v="0"/>
    <n v="2"/>
    <s v="Excellent coverage"/>
    <n v="0"/>
    <x v="0"/>
    <s v="temporary incinerator was implemented as pilot by Oxfam but it was not functioning now"/>
  </r>
  <r>
    <x v="12"/>
    <s v="MMR001CMP011"/>
    <x v="9"/>
    <x v="122"/>
    <n v="97.381195000000005"/>
    <n v="25.396363999999998"/>
    <x v="0"/>
    <x v="0"/>
    <x v="0"/>
    <x v="0"/>
    <n v="8"/>
    <n v="30"/>
    <n v="26"/>
    <n v="26"/>
    <x v="1"/>
    <s v="CIDA"/>
    <s v="KBC"/>
    <x v="2"/>
    <x v="1"/>
    <s v="Gap"/>
    <s v="Not documented"/>
    <x v="1"/>
    <n v="0"/>
    <n v="0"/>
    <s v="Yes"/>
    <s v="No"/>
    <n v="0"/>
    <n v="1"/>
    <n v="0"/>
    <n v="0"/>
    <n v="1"/>
    <s v="Ceramic Water filter"/>
    <n v="1"/>
    <n v="26"/>
    <n v="1"/>
    <n v="26"/>
    <n v="1"/>
    <n v="26"/>
    <x v="0"/>
    <n v="0"/>
    <n v="0"/>
    <n v="0"/>
    <n v="8"/>
    <n v="0"/>
    <n v="1"/>
    <n v="26"/>
    <m/>
    <n v="0"/>
    <n v="0"/>
    <m/>
    <n v="1"/>
    <x v="2"/>
    <x v="0"/>
    <n v="0.76923076923076927"/>
    <n v="20"/>
    <n v="0"/>
    <n v="0"/>
    <n v="0.76923076923076927"/>
    <n v="20"/>
    <n v="0"/>
    <n v="1"/>
    <n v="26"/>
    <n v="0.30000000000000004"/>
    <n v="1"/>
    <s v="Not separated yet"/>
    <n v="1"/>
    <n v="26"/>
    <n v="0"/>
    <n v="1"/>
    <n v="26"/>
    <n v="0"/>
    <n v="0"/>
    <n v="0.3"/>
    <n v="0"/>
    <s v="old 3 Hand washing were already out of used."/>
    <d v="2015-06-18T00:00:00"/>
    <s v="Blanket Consumable only"/>
    <m/>
    <d v="2016-06-17T00:00:00"/>
    <n v="8"/>
    <n v="0"/>
    <n v="0"/>
    <n v="1"/>
    <n v="26"/>
    <n v="8"/>
    <m/>
    <n v="0"/>
    <n v="0"/>
    <n v="2"/>
    <s v="Excellent coverage"/>
    <n v="0"/>
    <x v="0"/>
    <m/>
  </r>
  <r>
    <x v="12"/>
    <s v="MMR001CMP018"/>
    <x v="9"/>
    <x v="123"/>
    <n v="97.389778000000007"/>
    <n v="25.417733999999999"/>
    <x v="0"/>
    <x v="0"/>
    <x v="0"/>
    <x v="0"/>
    <n v="190"/>
    <n v="1047"/>
    <n v="927"/>
    <n v="927"/>
    <x v="0"/>
    <s v="CIDA"/>
    <s v="KBC"/>
    <x v="2"/>
    <x v="1"/>
    <s v="Gap"/>
    <s v="Not documented"/>
    <x v="1"/>
    <n v="0"/>
    <n v="0"/>
    <s v="Yes"/>
    <s v="No"/>
    <n v="1"/>
    <n v="9"/>
    <n v="3000"/>
    <n v="0"/>
    <n v="1"/>
    <s v="Ceramic Water filter"/>
    <n v="1"/>
    <n v="927"/>
    <n v="1"/>
    <n v="927"/>
    <n v="1"/>
    <n v="927"/>
    <x v="0"/>
    <n v="0"/>
    <n v="0"/>
    <n v="0"/>
    <n v="190"/>
    <n v="0"/>
    <n v="1"/>
    <n v="927"/>
    <m/>
    <n v="0"/>
    <n v="0"/>
    <m/>
    <n v="51"/>
    <x v="0"/>
    <x v="3"/>
    <n v="1"/>
    <n v="927"/>
    <n v="0"/>
    <n v="0"/>
    <n v="1"/>
    <n v="927"/>
    <n v="0"/>
    <n v="1"/>
    <n v="927"/>
    <n v="0"/>
    <n v="4"/>
    <s v="Separate, but not clearly perceived"/>
    <n v="0.43149946062567424"/>
    <n v="400"/>
    <n v="6.4700000000000006"/>
    <n v="0.43"/>
    <n v="398.61"/>
    <n v="0"/>
    <n v="0"/>
    <n v="10.47"/>
    <n v="0"/>
    <s v="old 3 Hand washing were already out of used."/>
    <d v="2015-06-18T00:00:00"/>
    <s v="Blanket Consumable only"/>
    <m/>
    <d v="2016-06-17T00:00:00"/>
    <n v="189"/>
    <n v="0"/>
    <n v="1"/>
    <n v="0.99473684210526314"/>
    <n v="922.12105263157889"/>
    <n v="8"/>
    <m/>
    <n v="0"/>
    <n v="0"/>
    <n v="4"/>
    <s v="Excellent coverage"/>
    <n v="0"/>
    <x v="2"/>
    <m/>
  </r>
  <r>
    <x v="12"/>
    <s v="MMR001CMP019"/>
    <x v="9"/>
    <x v="124"/>
    <n v="97.373361000000003"/>
    <n v="25.403476999999999"/>
    <x v="0"/>
    <x v="0"/>
    <x v="0"/>
    <x v="0"/>
    <n v="107"/>
    <n v="503"/>
    <n v="468"/>
    <n v="468"/>
    <x v="0"/>
    <s v="DFID"/>
    <s v="KMSS"/>
    <x v="2"/>
    <x v="1"/>
    <s v="Gap"/>
    <s v="Not documented"/>
    <x v="1"/>
    <n v="0"/>
    <n v="0"/>
    <s v="No"/>
    <s v="No"/>
    <n v="1"/>
    <n v="3"/>
    <n v="3000"/>
    <n v="0"/>
    <n v="1"/>
    <m/>
    <n v="1"/>
    <n v="468"/>
    <n v="1"/>
    <n v="468"/>
    <n v="1"/>
    <n v="468"/>
    <x v="0"/>
    <n v="0"/>
    <n v="0"/>
    <n v="0"/>
    <n v="107"/>
    <n v="0"/>
    <n v="1"/>
    <n v="468"/>
    <m/>
    <n v="0"/>
    <n v="0"/>
    <m/>
    <n v="20"/>
    <x v="1"/>
    <x v="0"/>
    <n v="0.85470085470085466"/>
    <n v="400"/>
    <n v="0"/>
    <n v="0"/>
    <n v="0.85470085470085466"/>
    <n v="400"/>
    <n v="0"/>
    <n v="0.86"/>
    <n v="402.48"/>
    <n v="3.3999999999999986"/>
    <n v="1"/>
    <s v="Not separated yet"/>
    <n v="0.21367521367521367"/>
    <n v="100"/>
    <n v="4.03"/>
    <n v="0.21"/>
    <n v="98.28"/>
    <n v="4"/>
    <n v="0.85470085470085466"/>
    <n v="1.0300000000000002"/>
    <n v="0.85"/>
    <m/>
    <d v="2014-05-22T00:00:00"/>
    <s v="Blanket Consumable only"/>
    <n v="0"/>
    <s v="To be realised"/>
    <n v="106"/>
    <n v="2"/>
    <n v="107"/>
    <n v="0"/>
    <n v="0"/>
    <n v="19"/>
    <m/>
    <n v="0"/>
    <n v="0"/>
    <n v="2"/>
    <s v="Excellent coverage"/>
    <n v="0"/>
    <x v="0"/>
    <m/>
  </r>
  <r>
    <x v="12"/>
    <s v="MMR001CMP013"/>
    <x v="9"/>
    <x v="125"/>
    <n v="97.405120999999994"/>
    <n v="25.365891000000001"/>
    <x v="0"/>
    <x v="0"/>
    <x v="0"/>
    <x v="0"/>
    <n v="44"/>
    <n v="180"/>
    <n v="193"/>
    <n v="193"/>
    <x v="1"/>
    <s v="CIDA"/>
    <s v="KBC"/>
    <x v="2"/>
    <x v="1"/>
    <s v="Gap"/>
    <s v="Not documented"/>
    <x v="1"/>
    <n v="0"/>
    <n v="0"/>
    <s v="No"/>
    <s v="No"/>
    <n v="1"/>
    <n v="1"/>
    <n v="0"/>
    <n v="0"/>
    <n v="1"/>
    <s v="Ceramic Water filter"/>
    <n v="1"/>
    <n v="193"/>
    <n v="1"/>
    <n v="193"/>
    <n v="1"/>
    <n v="193"/>
    <x v="0"/>
    <n v="0"/>
    <n v="0"/>
    <n v="0"/>
    <n v="44"/>
    <n v="0"/>
    <n v="1"/>
    <n v="193"/>
    <m/>
    <n v="16"/>
    <n v="0"/>
    <m/>
    <n v="8"/>
    <x v="1"/>
    <x v="0"/>
    <n v="0.82901554404145072"/>
    <n v="160"/>
    <n v="0"/>
    <n v="0"/>
    <n v="0.82901554404145072"/>
    <n v="160"/>
    <n v="0"/>
    <n v="1"/>
    <n v="193"/>
    <n v="1.6500000000000004"/>
    <n v="2"/>
    <s v="Not separated yet"/>
    <n v="1"/>
    <n v="193"/>
    <n v="0"/>
    <n v="1"/>
    <n v="193"/>
    <n v="0"/>
    <n v="0"/>
    <n v="1.8"/>
    <n v="0"/>
    <s v="Land limited to construct more latrines and WASH facilities, old 3 Hand washing were already out of used."/>
    <d v="2015-06-18T00:00:00"/>
    <s v="Blanket Consumable only"/>
    <m/>
    <d v="2016-06-17T00:00:00"/>
    <n v="44"/>
    <n v="0"/>
    <n v="0"/>
    <n v="1"/>
    <n v="193"/>
    <n v="8"/>
    <m/>
    <n v="0"/>
    <n v="0"/>
    <n v="4"/>
    <s v="Excellent coverage"/>
    <n v="0"/>
    <x v="2"/>
    <m/>
  </r>
  <r>
    <x v="12"/>
    <s v="MMR001CMP015"/>
    <x v="9"/>
    <x v="126"/>
    <n v="97.409317000000001"/>
    <n v="25.362189999999998"/>
    <x v="0"/>
    <x v="0"/>
    <x v="0"/>
    <x v="0"/>
    <n v="107"/>
    <n v="584"/>
    <n v="328"/>
    <n v="328"/>
    <x v="0"/>
    <s v="CIDA"/>
    <s v="KBC"/>
    <x v="2"/>
    <x v="1"/>
    <s v="Gap"/>
    <s v="Not documented"/>
    <x v="1"/>
    <n v="0"/>
    <n v="0"/>
    <s v="No"/>
    <s v="No"/>
    <n v="1"/>
    <n v="0"/>
    <n v="0"/>
    <n v="0"/>
    <n v="1"/>
    <s v="Ceramic Water filter"/>
    <n v="1"/>
    <n v="328"/>
    <n v="1"/>
    <n v="328"/>
    <n v="1"/>
    <n v="328"/>
    <x v="0"/>
    <n v="0"/>
    <n v="0"/>
    <n v="0"/>
    <n v="107"/>
    <n v="0"/>
    <n v="1"/>
    <n v="328"/>
    <m/>
    <n v="0"/>
    <n v="0"/>
    <m/>
    <n v="10"/>
    <x v="2"/>
    <x v="0"/>
    <n v="0.6097560975609756"/>
    <n v="200"/>
    <n v="0"/>
    <n v="0"/>
    <n v="0.6097560975609756"/>
    <n v="200"/>
    <n v="0"/>
    <n v="0.61"/>
    <n v="200.07999999999998"/>
    <n v="6.3999999999999986"/>
    <n v="1"/>
    <s v="Not separated yet"/>
    <n v="0.3048780487804878"/>
    <n v="100"/>
    <n v="4.84"/>
    <n v="0.3"/>
    <n v="98.399999999999991"/>
    <n v="0"/>
    <n v="0"/>
    <n v="5.84"/>
    <n v="0"/>
    <s v="3 Hand washing were already out of used."/>
    <d v="2015-06-18T00:00:00"/>
    <s v="Blanket Consumable only"/>
    <m/>
    <d v="2016-06-17T00:00:00"/>
    <n v="105"/>
    <n v="0"/>
    <n v="2"/>
    <n v="0.98130841121495327"/>
    <n v="321.86915887850466"/>
    <n v="8"/>
    <m/>
    <n v="0"/>
    <n v="0"/>
    <n v="2"/>
    <s v="Excellent coverage"/>
    <n v="0"/>
    <x v="0"/>
    <m/>
  </r>
  <r>
    <x v="12"/>
    <s v="MMR001CMP014"/>
    <x v="9"/>
    <x v="127"/>
    <n v="97.408919999999995"/>
    <n v="25.355983999999999"/>
    <x v="0"/>
    <x v="0"/>
    <x v="0"/>
    <x v="0"/>
    <n v="163"/>
    <n v="762"/>
    <n v="462"/>
    <n v="462"/>
    <x v="0"/>
    <s v="CIDA"/>
    <s v="KBC"/>
    <x v="2"/>
    <x v="1"/>
    <s v="Gap"/>
    <s v="Not documented"/>
    <x v="1"/>
    <n v="0"/>
    <n v="0"/>
    <s v="No"/>
    <s v="No"/>
    <n v="0"/>
    <n v="3"/>
    <n v="5600"/>
    <n v="0"/>
    <n v="1"/>
    <s v="Ceramic Water filter"/>
    <n v="1"/>
    <n v="462"/>
    <n v="1"/>
    <n v="462"/>
    <n v="1"/>
    <n v="462"/>
    <x v="0"/>
    <n v="0"/>
    <n v="0"/>
    <n v="0"/>
    <n v="163"/>
    <n v="0"/>
    <n v="1"/>
    <n v="462"/>
    <m/>
    <n v="0"/>
    <n v="0"/>
    <m/>
    <n v="34"/>
    <x v="0"/>
    <x v="0"/>
    <n v="1"/>
    <n v="462"/>
    <n v="0"/>
    <n v="0"/>
    <n v="1"/>
    <n v="462"/>
    <n v="0"/>
    <n v="1"/>
    <n v="462"/>
    <n v="0"/>
    <n v="3"/>
    <s v="Separate, clearly perceived"/>
    <n v="0.64935064935064934"/>
    <n v="300"/>
    <n v="4.62"/>
    <n v="0.65"/>
    <n v="300.3"/>
    <n v="0"/>
    <n v="0"/>
    <n v="7.62"/>
    <n v="0"/>
    <s v="9 Hand washing were already out of used"/>
    <d v="2015-06-18T00:00:00"/>
    <s v="Blanket Consumable only"/>
    <m/>
    <d v="2016-06-17T00:00:00"/>
    <n v="143"/>
    <n v="0"/>
    <n v="20"/>
    <n v="0.87730061349693256"/>
    <n v="405.31288343558282"/>
    <n v="8"/>
    <m/>
    <n v="0"/>
    <n v="0"/>
    <n v="2"/>
    <s v="Excellent coverage"/>
    <n v="0"/>
    <x v="0"/>
    <m/>
  </r>
  <r>
    <x v="12"/>
    <s v="MMR001CMP016"/>
    <x v="9"/>
    <x v="128"/>
    <n v="97.411606000000006"/>
    <n v="25.360475999999998"/>
    <x v="0"/>
    <x v="0"/>
    <x v="2"/>
    <x v="0"/>
    <n v="72"/>
    <n v="333"/>
    <n v="318"/>
    <n v="318"/>
    <x v="0"/>
    <s v="CIDA"/>
    <s v="KBC"/>
    <x v="2"/>
    <x v="1"/>
    <s v="Gap"/>
    <s v="Not documented"/>
    <x v="1"/>
    <n v="0"/>
    <n v="0"/>
    <s v="No"/>
    <s v="No"/>
    <n v="1"/>
    <n v="1"/>
    <n v="1600"/>
    <n v="0"/>
    <n v="1"/>
    <s v="Ceramic Water filter"/>
    <n v="1"/>
    <n v="318"/>
    <n v="1"/>
    <n v="318"/>
    <n v="1"/>
    <n v="318"/>
    <x v="0"/>
    <n v="0"/>
    <n v="0"/>
    <n v="0"/>
    <n v="72"/>
    <n v="0"/>
    <n v="1"/>
    <n v="318"/>
    <m/>
    <n v="0"/>
    <n v="0"/>
    <m/>
    <n v="12"/>
    <x v="2"/>
    <x v="0"/>
    <n v="0.75471698113207553"/>
    <n v="240.00000000000003"/>
    <n v="0"/>
    <n v="0"/>
    <n v="0.75471698113207553"/>
    <n v="240.00000000000003"/>
    <n v="0"/>
    <n v="0.75"/>
    <n v="238.5"/>
    <n v="3.9000000000000004"/>
    <n v="2"/>
    <s v="Not separated yet"/>
    <n v="0.62893081761006286"/>
    <n v="200"/>
    <n v="1.33"/>
    <n v="0.63"/>
    <n v="200.34"/>
    <n v="0"/>
    <n v="0"/>
    <n v="3.33"/>
    <n v="0"/>
    <s v="due to IDPs used individual bathing spaces, no need to construct more, old 3 Hand washing were already out of used"/>
    <d v="2015-06-18T00:00:00"/>
    <s v="Blanket Consumable only"/>
    <m/>
    <d v="2016-06-17T00:00:00"/>
    <n v="71"/>
    <n v="0"/>
    <n v="1"/>
    <n v="0.98611111111111116"/>
    <n v="313.58333333333337"/>
    <n v="8"/>
    <m/>
    <n v="0"/>
    <n v="0"/>
    <n v="1"/>
    <s v="Excellent coverage"/>
    <n v="0"/>
    <x v="0"/>
    <m/>
  </r>
  <r>
    <x v="12"/>
    <s v="MMR001CMP008"/>
    <x v="9"/>
    <x v="129"/>
    <n v="97.418694000000002"/>
    <n v="25.428910999999999"/>
    <x v="0"/>
    <x v="0"/>
    <x v="1"/>
    <x v="0"/>
    <n v="93"/>
    <n v="446"/>
    <n v="368"/>
    <n v="368"/>
    <x v="0"/>
    <s v="CIDA"/>
    <s v="KBC"/>
    <x v="2"/>
    <x v="1"/>
    <s v="Gap"/>
    <s v="Not documented"/>
    <x v="1"/>
    <n v="0"/>
    <n v="0"/>
    <s v="No"/>
    <s v="No"/>
    <n v="2"/>
    <n v="0"/>
    <n v="1000"/>
    <n v="0"/>
    <n v="1"/>
    <s v="Ceramic Water filter"/>
    <n v="1"/>
    <n v="368"/>
    <n v="1"/>
    <n v="368"/>
    <n v="1"/>
    <n v="368"/>
    <x v="0"/>
    <n v="0"/>
    <n v="0"/>
    <n v="0"/>
    <n v="93"/>
    <n v="0"/>
    <n v="1"/>
    <n v="368"/>
    <m/>
    <n v="14"/>
    <n v="0"/>
    <m/>
    <n v="24"/>
    <x v="0"/>
    <x v="3"/>
    <n v="1"/>
    <n v="368"/>
    <n v="0"/>
    <n v="0"/>
    <n v="1"/>
    <n v="368"/>
    <n v="0"/>
    <n v="1"/>
    <n v="368"/>
    <n v="0"/>
    <n v="2"/>
    <s v="Not separated yet"/>
    <n v="0.54347826086956519"/>
    <n v="200"/>
    <n v="2.46"/>
    <n v="0.54"/>
    <n v="198.72000000000003"/>
    <n v="0"/>
    <n v="0"/>
    <n v="4.46"/>
    <n v="0"/>
    <s v="old 12 Hand washing were already out of used"/>
    <d v="2015-06-18T00:00:00"/>
    <s v="Blanket Consumable only"/>
    <m/>
    <d v="2016-06-17T00:00:00"/>
    <n v="87"/>
    <n v="0"/>
    <n v="6"/>
    <n v="0.93548387096774188"/>
    <n v="344.25806451612902"/>
    <n v="8"/>
    <m/>
    <n v="0"/>
    <n v="0"/>
    <n v="2"/>
    <s v="Excellent coverage"/>
    <n v="0"/>
    <x v="0"/>
    <m/>
  </r>
  <r>
    <x v="12"/>
    <s v="MMR001CMP020"/>
    <x v="9"/>
    <x v="130"/>
    <n v="97.284729999999996"/>
    <n v="25.374020000000002"/>
    <x v="0"/>
    <x v="0"/>
    <x v="1"/>
    <x v="0"/>
    <n v="22"/>
    <n v="110"/>
    <n v="90"/>
    <n v="103"/>
    <x v="1"/>
    <s v="AusAid"/>
    <s v="Shalom"/>
    <x v="2"/>
    <x v="1"/>
    <s v="Gap"/>
    <s v="Not documented"/>
    <x v="1"/>
    <n v="0"/>
    <n v="0"/>
    <s v="Yes"/>
    <s v="No"/>
    <n v="1"/>
    <n v="1"/>
    <n v="3000"/>
    <n v="0"/>
    <n v="0"/>
    <m/>
    <n v="1"/>
    <n v="103"/>
    <n v="1"/>
    <n v="103"/>
    <n v="1"/>
    <n v="103"/>
    <x v="0"/>
    <n v="0"/>
    <n v="0"/>
    <n v="0"/>
    <n v="0"/>
    <n v="0"/>
    <n v="1"/>
    <n v="103"/>
    <m/>
    <n v="6"/>
    <n v="2"/>
    <m/>
    <n v="5"/>
    <x v="1"/>
    <x v="0"/>
    <n v="1"/>
    <n v="103"/>
    <n v="2.9126213592232997E-2"/>
    <n v="2.9999999999999987"/>
    <n v="0.970873786407767"/>
    <n v="100"/>
    <n v="0"/>
    <n v="1"/>
    <n v="103"/>
    <n v="0.15000000000000036"/>
    <n v="2"/>
    <s v="Separate, clearly perceived"/>
    <n v="1"/>
    <n v="103"/>
    <n v="0"/>
    <n v="1"/>
    <n v="103"/>
    <n v="2"/>
    <n v="1"/>
    <n v="0"/>
    <n v="1"/>
    <m/>
    <d v="2015-02-13T00:00:00"/>
    <s v="Blanket Consumable only"/>
    <m/>
    <s v="To be realised"/>
    <n v="22"/>
    <n v="2"/>
    <n v="22"/>
    <n v="0"/>
    <n v="0"/>
    <n v="10"/>
    <m/>
    <n v="0"/>
    <n v="0"/>
    <n v="2"/>
    <s v="Excellent coverage"/>
    <n v="0"/>
    <x v="0"/>
    <m/>
  </r>
  <r>
    <x v="12"/>
    <s v="MMR001CMP021"/>
    <x v="9"/>
    <x v="131"/>
    <n v="97.291079999999994"/>
    <n v="25.371179999999999"/>
    <x v="0"/>
    <x v="0"/>
    <x v="1"/>
    <x v="0"/>
    <n v="14"/>
    <n v="103"/>
    <n v="60"/>
    <n v="72"/>
    <x v="1"/>
    <s v="AusAid"/>
    <s v="Shalom"/>
    <x v="2"/>
    <x v="1"/>
    <s v="Gap"/>
    <s v="Not documented"/>
    <x v="1"/>
    <n v="0"/>
    <n v="0"/>
    <s v="Yes"/>
    <s v="No"/>
    <n v="1"/>
    <n v="0"/>
    <n v="3000"/>
    <n v="0"/>
    <n v="0"/>
    <m/>
    <n v="1"/>
    <n v="72"/>
    <n v="1"/>
    <n v="72"/>
    <n v="1"/>
    <n v="72"/>
    <x v="0"/>
    <n v="0"/>
    <n v="0"/>
    <n v="0"/>
    <n v="0"/>
    <n v="0"/>
    <n v="1"/>
    <n v="72"/>
    <m/>
    <n v="115"/>
    <n v="0"/>
    <m/>
    <n v="5"/>
    <x v="3"/>
    <x v="0"/>
    <n v="1"/>
    <n v="72"/>
    <n v="0"/>
    <n v="0"/>
    <n v="1"/>
    <n v="72"/>
    <n v="0"/>
    <n v="1"/>
    <n v="72"/>
    <n v="0"/>
    <n v="2"/>
    <s v="Separate, clearly perceived"/>
    <n v="1"/>
    <n v="72"/>
    <n v="0"/>
    <n v="1"/>
    <n v="72"/>
    <n v="1"/>
    <n v="1"/>
    <n v="3.0000000000000027E-2"/>
    <n v="1"/>
    <m/>
    <d v="2015-02-13T00:00:00"/>
    <s v="Blanket Consumable only"/>
    <m/>
    <s v="To be realised"/>
    <n v="14"/>
    <n v="7"/>
    <n v="14"/>
    <n v="0"/>
    <n v="0"/>
    <n v="5"/>
    <m/>
    <n v="0"/>
    <n v="0"/>
    <n v="2"/>
    <s v="Excellent coverage"/>
    <n v="0"/>
    <x v="0"/>
    <m/>
  </r>
  <r>
    <x v="12"/>
    <s v="MMR001CMP024"/>
    <x v="9"/>
    <x v="132"/>
    <n v="97.359380000000002"/>
    <n v="25.411770000000001"/>
    <x v="0"/>
    <x v="0"/>
    <x v="1"/>
    <x v="0"/>
    <n v="70"/>
    <n v="326"/>
    <n v="308"/>
    <n v="308"/>
    <x v="0"/>
    <s v="DFID"/>
    <s v="KMSS"/>
    <x v="2"/>
    <x v="1"/>
    <s v="Gap"/>
    <s v="Not documented"/>
    <x v="1"/>
    <n v="0"/>
    <n v="0"/>
    <s v="No"/>
    <s v="No"/>
    <n v="0"/>
    <n v="4"/>
    <n v="8000"/>
    <n v="0"/>
    <n v="1"/>
    <m/>
    <n v="1"/>
    <n v="308"/>
    <n v="1"/>
    <n v="308"/>
    <n v="1"/>
    <n v="308"/>
    <x v="0"/>
    <n v="0"/>
    <n v="0"/>
    <n v="0"/>
    <n v="70"/>
    <n v="0"/>
    <n v="1"/>
    <n v="308"/>
    <m/>
    <n v="2"/>
    <n v="17"/>
    <m/>
    <n v="6"/>
    <x v="2"/>
    <x v="3"/>
    <n v="1"/>
    <n v="308"/>
    <n v="0.61038961038961037"/>
    <n v="188"/>
    <n v="0.38961038961038963"/>
    <n v="120"/>
    <n v="0"/>
    <n v="1"/>
    <n v="308"/>
    <n v="9.4"/>
    <n v="3"/>
    <s v="Separate, clearly perceived"/>
    <n v="0.97402597402597402"/>
    <n v="300"/>
    <n v="0.25999999999999979"/>
    <n v="0.97"/>
    <n v="298.76"/>
    <n v="4"/>
    <n v="1"/>
    <n v="0"/>
    <n v="1"/>
    <m/>
    <d v="2014-05-22T00:00:00"/>
    <s v="Blanket Consumable only"/>
    <n v="0"/>
    <s v="To be realised"/>
    <n v="72"/>
    <n v="2"/>
    <n v="70"/>
    <n v="0"/>
    <n v="0"/>
    <n v="19"/>
    <m/>
    <n v="0"/>
    <n v="0"/>
    <n v="2"/>
    <s v="Excellent coverage"/>
    <n v="0"/>
    <x v="2"/>
    <m/>
  </r>
  <r>
    <x v="12"/>
    <s v="MMR001CMP002"/>
    <x v="9"/>
    <x v="133"/>
    <n v="97.394547000000003"/>
    <n v="25.422194000000001"/>
    <x v="0"/>
    <x v="0"/>
    <x v="1"/>
    <x v="0"/>
    <n v="56"/>
    <n v="230"/>
    <n v="221"/>
    <n v="221"/>
    <x v="0"/>
    <s v="CIDA"/>
    <s v="KBC"/>
    <x v="2"/>
    <x v="1"/>
    <s v="Gap"/>
    <s v="Not documented"/>
    <x v="1"/>
    <n v="0"/>
    <n v="0"/>
    <s v="No"/>
    <s v="No"/>
    <n v="2"/>
    <n v="2"/>
    <n v="0"/>
    <n v="0"/>
    <n v="1"/>
    <s v="Ceramic Water filter"/>
    <n v="1"/>
    <n v="221"/>
    <n v="1"/>
    <n v="221"/>
    <n v="1"/>
    <n v="221"/>
    <x v="0"/>
    <n v="0"/>
    <n v="0"/>
    <n v="0"/>
    <n v="56"/>
    <n v="0"/>
    <n v="1"/>
    <n v="221"/>
    <m/>
    <n v="0"/>
    <n v="0"/>
    <m/>
    <n v="8"/>
    <x v="0"/>
    <x v="0"/>
    <n v="0.72398190045248867"/>
    <n v="160"/>
    <n v="0"/>
    <n v="0"/>
    <n v="0.72398190045248867"/>
    <n v="160"/>
    <n v="0"/>
    <n v="0.72"/>
    <n v="159.12"/>
    <n v="3.0500000000000007"/>
    <n v="2"/>
    <s v="Separate, clearly perceived"/>
    <n v="0.90497737556561086"/>
    <n v="200"/>
    <n v="0.29999999999999982"/>
    <n v="0.9"/>
    <n v="198.9"/>
    <n v="0"/>
    <n v="0"/>
    <n v="2.2999999999999998"/>
    <n v="0"/>
    <s v="6 Hand washing were already out of used"/>
    <d v="2015-06-18T00:00:00"/>
    <s v="Blanket Consumable only"/>
    <m/>
    <d v="2016-06-17T00:00:00"/>
    <n v="55"/>
    <n v="0"/>
    <n v="1"/>
    <n v="0.9821428571428571"/>
    <n v="217.05357142857142"/>
    <n v="8"/>
    <m/>
    <n v="0"/>
    <n v="0"/>
    <n v="2"/>
    <s v="Excellent coverage"/>
    <n v="0"/>
    <x v="0"/>
    <m/>
  </r>
  <r>
    <x v="12"/>
    <s v="MMR001CMP162"/>
    <x v="9"/>
    <x v="134"/>
    <n v="97.4345"/>
    <n v="25.493819999999999"/>
    <x v="0"/>
    <x v="0"/>
    <x v="1"/>
    <x v="0"/>
    <n v="41"/>
    <n v="233"/>
    <n v="176"/>
    <n v="176"/>
    <x v="1"/>
    <s v="DFID"/>
    <s v="KMSS"/>
    <x v="2"/>
    <x v="1"/>
    <s v="Gap"/>
    <s v="Not documented"/>
    <x v="1"/>
    <n v="0"/>
    <n v="0"/>
    <s v="Yes"/>
    <s v="No"/>
    <n v="1"/>
    <n v="1"/>
    <n v="3000"/>
    <n v="0"/>
    <n v="1"/>
    <m/>
    <n v="1"/>
    <n v="176"/>
    <n v="1"/>
    <n v="176"/>
    <n v="1"/>
    <n v="176"/>
    <x v="0"/>
    <n v="0"/>
    <n v="0"/>
    <n v="0"/>
    <n v="41"/>
    <n v="0"/>
    <n v="1"/>
    <n v="176"/>
    <m/>
    <n v="0"/>
    <n v="0"/>
    <m/>
    <n v="10"/>
    <x v="2"/>
    <x v="0"/>
    <n v="1"/>
    <n v="176"/>
    <n v="0"/>
    <n v="0"/>
    <n v="1"/>
    <n v="176"/>
    <n v="0"/>
    <n v="1"/>
    <n v="176"/>
    <n v="0"/>
    <n v="2"/>
    <s v="Separate, clearly perceived"/>
    <n v="1"/>
    <n v="176"/>
    <n v="0.33000000000000007"/>
    <n v="1"/>
    <n v="176"/>
    <n v="3"/>
    <n v="1"/>
    <n v="0"/>
    <n v="1"/>
    <m/>
    <d v="2014-05-22T00:00:00"/>
    <s v="Blanket Consumable only"/>
    <n v="0"/>
    <s v="To be realised"/>
    <n v="28"/>
    <n v="2"/>
    <n v="41"/>
    <n v="0"/>
    <n v="0"/>
    <n v="19"/>
    <m/>
    <n v="0"/>
    <n v="0"/>
    <n v="1"/>
    <s v="Excellent coverage"/>
    <n v="0"/>
    <x v="0"/>
    <m/>
  </r>
  <r>
    <x v="12"/>
    <s v="MMR001CMP006"/>
    <x v="9"/>
    <x v="135"/>
    <n v="97.399628000000007"/>
    <n v="25.412313000000001"/>
    <x v="0"/>
    <x v="0"/>
    <x v="0"/>
    <x v="0"/>
    <n v="97"/>
    <n v="382"/>
    <n v="398"/>
    <n v="398"/>
    <x v="0"/>
    <s v="CIDA"/>
    <s v="KBC"/>
    <x v="2"/>
    <x v="1"/>
    <s v="Gap"/>
    <s v="Not documented"/>
    <x v="1"/>
    <n v="0"/>
    <n v="0"/>
    <s v="No"/>
    <s v="No"/>
    <n v="2"/>
    <n v="1"/>
    <n v="3000"/>
    <n v="0"/>
    <n v="1"/>
    <s v="Ceramic Water filter"/>
    <n v="1"/>
    <n v="398"/>
    <n v="1"/>
    <n v="398"/>
    <n v="1"/>
    <n v="398"/>
    <x v="0"/>
    <n v="0"/>
    <n v="0"/>
    <n v="0"/>
    <n v="97"/>
    <n v="0"/>
    <n v="1"/>
    <n v="398"/>
    <m/>
    <n v="0"/>
    <n v="0"/>
    <m/>
    <n v="15"/>
    <x v="0"/>
    <x v="1"/>
    <n v="0.75376884422110557"/>
    <n v="300"/>
    <n v="0"/>
    <n v="0"/>
    <n v="0.75376884422110557"/>
    <n v="300"/>
    <n v="0"/>
    <n v="0.75"/>
    <n v="298.5"/>
    <n v="4.8999999999999986"/>
    <n v="2"/>
    <s v="Not separated yet"/>
    <n v="0.50251256281407031"/>
    <n v="199.99999999999997"/>
    <n v="1.8199999999999998"/>
    <n v="0.5"/>
    <n v="199"/>
    <n v="0"/>
    <n v="0"/>
    <n v="3.82"/>
    <n v="0"/>
    <s v="12 Hand washing were already out of used."/>
    <d v="2015-06-18T00:00:00"/>
    <s v="Blanket Consumable only"/>
    <m/>
    <d v="2016-06-17T00:00:00"/>
    <n v="100"/>
    <n v="0"/>
    <n v="0"/>
    <n v="1"/>
    <n v="398"/>
    <n v="8"/>
    <m/>
    <n v="0"/>
    <n v="0"/>
    <n v="7"/>
    <s v="Excellent coverage"/>
    <n v="0"/>
    <x v="2"/>
    <m/>
  </r>
  <r>
    <x v="12"/>
    <s v="MMR001CMP007"/>
    <x v="9"/>
    <x v="136"/>
    <n v="97.418004999999994"/>
    <n v="25.423817"/>
    <x v="0"/>
    <x v="0"/>
    <x v="0"/>
    <x v="0"/>
    <n v="28"/>
    <n v="73"/>
    <n v="112"/>
    <n v="130"/>
    <x v="1"/>
    <s v="AusAid"/>
    <s v="Shalom"/>
    <x v="2"/>
    <x v="1"/>
    <s v="Gap"/>
    <s v="Not documented"/>
    <x v="1"/>
    <n v="0"/>
    <n v="0"/>
    <s v="Yes"/>
    <s v="No"/>
    <n v="2"/>
    <n v="0"/>
    <n v="0"/>
    <n v="0"/>
    <n v="0"/>
    <m/>
    <n v="1"/>
    <n v="130"/>
    <n v="1"/>
    <n v="130"/>
    <n v="1"/>
    <n v="130"/>
    <x v="0"/>
    <n v="0"/>
    <n v="0"/>
    <n v="0"/>
    <n v="0"/>
    <n v="0"/>
    <n v="1"/>
    <n v="130"/>
    <m/>
    <n v="8"/>
    <n v="0"/>
    <m/>
    <n v="7"/>
    <x v="3"/>
    <x v="0"/>
    <n v="1"/>
    <n v="130"/>
    <n v="0"/>
    <n v="0"/>
    <n v="1"/>
    <n v="130"/>
    <n v="0"/>
    <n v="1"/>
    <n v="130"/>
    <n v="0"/>
    <n v="4"/>
    <s v="Separate, clearly perceived"/>
    <n v="1"/>
    <n v="130"/>
    <n v="0"/>
    <n v="1"/>
    <n v="130"/>
    <n v="3"/>
    <n v="1"/>
    <n v="0"/>
    <n v="1"/>
    <m/>
    <d v="2015-02-13T00:00:00"/>
    <s v="Blanket Consumable only"/>
    <m/>
    <s v="To be realised"/>
    <n v="28"/>
    <n v="7"/>
    <n v="28"/>
    <n v="0"/>
    <n v="0"/>
    <n v="5"/>
    <m/>
    <n v="0"/>
    <n v="0"/>
    <n v="2"/>
    <s v="Excellent coverage"/>
    <n v="0"/>
    <x v="0"/>
    <m/>
  </r>
  <r>
    <x v="12"/>
    <s v="MMR001CMP009"/>
    <x v="9"/>
    <x v="137"/>
    <n v="97.419403000000003"/>
    <n v="25.440928"/>
    <x v="0"/>
    <x v="0"/>
    <x v="1"/>
    <x v="0"/>
    <n v="87"/>
    <n v="461"/>
    <n v="418"/>
    <n v="418"/>
    <x v="0"/>
    <s v="CIDA"/>
    <s v="KBC"/>
    <x v="2"/>
    <x v="1"/>
    <s v="Gap"/>
    <s v="Not documented"/>
    <x v="1"/>
    <n v="0"/>
    <n v="0"/>
    <s v="No"/>
    <s v="No"/>
    <n v="2"/>
    <n v="0"/>
    <n v="2000"/>
    <n v="0"/>
    <n v="1"/>
    <s v="Ceramic Water filter"/>
    <n v="1"/>
    <n v="418"/>
    <n v="1"/>
    <n v="418"/>
    <n v="1"/>
    <n v="418"/>
    <x v="0"/>
    <n v="0"/>
    <n v="0"/>
    <n v="0"/>
    <n v="87"/>
    <n v="0"/>
    <n v="1"/>
    <n v="418"/>
    <m/>
    <n v="2"/>
    <n v="0"/>
    <n v="0"/>
    <n v="16"/>
    <x v="1"/>
    <x v="3"/>
    <n v="0.76555023923444976"/>
    <n v="320"/>
    <n v="0"/>
    <n v="0"/>
    <n v="0.76555023923444976"/>
    <n v="320"/>
    <n v="0"/>
    <n v="0.77"/>
    <n v="321.86"/>
    <n v="4.8999999999999986"/>
    <n v="2"/>
    <s v="Not separated yet"/>
    <n v="0.4784688995215311"/>
    <n v="200"/>
    <n v="2.6100000000000003"/>
    <n v="0.48"/>
    <n v="200.64"/>
    <n v="0"/>
    <n v="0"/>
    <n v="4.6100000000000003"/>
    <n v="0"/>
    <s v="6 Hand washing were already out of used"/>
    <d v="2015-06-18T00:00:00"/>
    <s v="Blanket Consumable only"/>
    <m/>
    <d v="2016-06-17T00:00:00"/>
    <n v="83"/>
    <n v="0"/>
    <n v="4"/>
    <n v="0.95402298850574707"/>
    <n v="398.78160919540227"/>
    <n v="8"/>
    <m/>
    <n v="0"/>
    <n v="0"/>
    <m/>
    <s v="No coverage"/>
    <n v="0"/>
    <x v="2"/>
    <m/>
  </r>
  <r>
    <x v="12"/>
    <s v="MMR001CMP023"/>
    <x v="9"/>
    <x v="138"/>
    <n v="97.387370000000004"/>
    <n v="25.42595"/>
    <x v="0"/>
    <x v="0"/>
    <x v="0"/>
    <x v="0"/>
    <n v="65"/>
    <n v="335"/>
    <n v="311"/>
    <n v="335"/>
    <x v="0"/>
    <s v="AusAid"/>
    <s v="Shalom"/>
    <x v="2"/>
    <x v="1"/>
    <s v="Gap"/>
    <s v="Not documented"/>
    <x v="1"/>
    <n v="0"/>
    <n v="0"/>
    <s v="Yes"/>
    <s v="No"/>
    <n v="1"/>
    <n v="2"/>
    <n v="0"/>
    <n v="0"/>
    <n v="0"/>
    <m/>
    <n v="1"/>
    <n v="335"/>
    <n v="1"/>
    <n v="335"/>
    <n v="1"/>
    <n v="335"/>
    <x v="0"/>
    <n v="0"/>
    <n v="0"/>
    <n v="0"/>
    <n v="0"/>
    <n v="0"/>
    <n v="1"/>
    <n v="335"/>
    <m/>
    <n v="16"/>
    <n v="2"/>
    <m/>
    <n v="14"/>
    <x v="1"/>
    <x v="0"/>
    <n v="0.95522388059701491"/>
    <n v="320"/>
    <n v="0.11940298507462688"/>
    <n v="40.000000000000007"/>
    <n v="0.83582089552238803"/>
    <n v="280"/>
    <n v="0"/>
    <n v="1"/>
    <n v="335"/>
    <n v="2.75"/>
    <n v="4"/>
    <s v="Not separated yet"/>
    <n v="1"/>
    <n v="335"/>
    <n v="0"/>
    <n v="1"/>
    <n v="335"/>
    <n v="2"/>
    <n v="0.59701492537313428"/>
    <n v="1.35"/>
    <n v="1"/>
    <m/>
    <d v="2015-02-13T00:00:00"/>
    <s v="Blanket Consumable only"/>
    <m/>
    <s v="To be realised"/>
    <n v="65"/>
    <n v="7"/>
    <n v="65"/>
    <n v="0"/>
    <n v="0"/>
    <n v="5"/>
    <m/>
    <n v="0"/>
    <n v="0"/>
    <n v="2"/>
    <s v="Excellent coverage"/>
    <n v="0"/>
    <x v="0"/>
    <m/>
  </r>
  <r>
    <x v="12"/>
    <s v="MMR001CMP001"/>
    <x v="9"/>
    <x v="139"/>
    <n v="97.386718999999999"/>
    <n v="25.415482000000001"/>
    <x v="0"/>
    <x v="0"/>
    <x v="0"/>
    <x v="0"/>
    <n v="69"/>
    <n v="349"/>
    <n v="316"/>
    <n v="316"/>
    <x v="0"/>
    <s v="CIDA"/>
    <s v="KBC"/>
    <x v="2"/>
    <x v="1"/>
    <s v="Gap"/>
    <s v="Not documented"/>
    <x v="1"/>
    <n v="0"/>
    <n v="0"/>
    <s v="No"/>
    <s v="No"/>
    <n v="0"/>
    <n v="3"/>
    <n v="1000"/>
    <n v="0"/>
    <n v="1"/>
    <s v="Ceramic Water filter"/>
    <n v="1"/>
    <n v="316"/>
    <n v="1"/>
    <n v="316"/>
    <n v="1"/>
    <n v="316"/>
    <x v="0"/>
    <n v="0"/>
    <n v="0"/>
    <n v="0"/>
    <n v="69"/>
    <n v="0"/>
    <n v="1"/>
    <n v="316"/>
    <m/>
    <n v="70"/>
    <n v="0"/>
    <m/>
    <n v="11"/>
    <x v="2"/>
    <x v="3"/>
    <n v="0.69620253164556967"/>
    <n v="220.00000000000003"/>
    <n v="0"/>
    <n v="0"/>
    <n v="0.69620253164556967"/>
    <n v="220.00000000000003"/>
    <n v="0"/>
    <n v="0.7"/>
    <n v="221.2"/>
    <n v="4.8000000000000007"/>
    <n v="2"/>
    <s v="Separate, but not clearly perceived"/>
    <n v="0.63291139240506333"/>
    <n v="200"/>
    <n v="1.4900000000000002"/>
    <n v="0.63"/>
    <n v="199.08"/>
    <n v="0"/>
    <n v="0"/>
    <n v="3.49"/>
    <n v="0"/>
    <s v="1 Hand washing were already out of used"/>
    <d v="2015-06-18T00:00:00"/>
    <s v="Blanket Consumable only"/>
    <m/>
    <d v="2016-06-17T00:00:00"/>
    <n v="87"/>
    <n v="0"/>
    <n v="0"/>
    <n v="1"/>
    <n v="316"/>
    <n v="8"/>
    <m/>
    <n v="0"/>
    <n v="0"/>
    <n v="3"/>
    <s v="Excellent coverage"/>
    <n v="0"/>
    <x v="2"/>
    <m/>
  </r>
  <r>
    <x v="12"/>
    <s v="MMR001CMP004"/>
    <x v="9"/>
    <x v="140"/>
    <n v="97.379272"/>
    <n v="25.401074999999999"/>
    <x v="0"/>
    <x v="0"/>
    <x v="0"/>
    <x v="0"/>
    <n v="12"/>
    <n v="60"/>
    <n v="39"/>
    <n v="55"/>
    <x v="1"/>
    <s v="AusAid"/>
    <s v="Shalom"/>
    <x v="2"/>
    <x v="1"/>
    <s v="Gap"/>
    <s v="Not documented"/>
    <x v="1"/>
    <n v="0"/>
    <n v="0"/>
    <s v="Yes"/>
    <s v="No"/>
    <n v="0"/>
    <n v="1"/>
    <n v="3600"/>
    <n v="0"/>
    <n v="0"/>
    <m/>
    <n v="1"/>
    <n v="55"/>
    <n v="1"/>
    <n v="55"/>
    <n v="1"/>
    <n v="55"/>
    <x v="0"/>
    <n v="0"/>
    <n v="0"/>
    <n v="0"/>
    <n v="0"/>
    <n v="0"/>
    <n v="1"/>
    <n v="55"/>
    <m/>
    <n v="0"/>
    <n v="0"/>
    <m/>
    <n v="3"/>
    <x v="1"/>
    <x v="0"/>
    <n v="1"/>
    <n v="55"/>
    <n v="0"/>
    <n v="0"/>
    <n v="1"/>
    <n v="55"/>
    <n v="0"/>
    <n v="1"/>
    <n v="55"/>
    <n v="0"/>
    <n v="2"/>
    <s v="Separate, clearly perceived"/>
    <n v="1"/>
    <n v="55"/>
    <n v="0"/>
    <n v="1"/>
    <n v="55"/>
    <n v="1"/>
    <n v="1"/>
    <n v="0"/>
    <n v="1"/>
    <m/>
    <d v="2015-02-13T00:00:00"/>
    <s v="Blanket Consumable only"/>
    <m/>
    <s v="To be realised"/>
    <n v="12"/>
    <n v="7"/>
    <n v="12"/>
    <n v="0"/>
    <n v="0"/>
    <n v="5"/>
    <m/>
    <n v="0"/>
    <n v="0"/>
    <n v="1"/>
    <s v="Excellent coverage"/>
    <n v="0"/>
    <x v="0"/>
    <m/>
  </r>
  <r>
    <x v="12"/>
    <s v="MMR001CMP003"/>
    <x v="9"/>
    <x v="141"/>
    <n v="97.377662999999998"/>
    <n v="25.404752999999999"/>
    <x v="0"/>
    <x v="0"/>
    <x v="0"/>
    <x v="0"/>
    <n v="32"/>
    <n v="146"/>
    <n v="151"/>
    <n v="151"/>
    <x v="1"/>
    <s v="CIDA"/>
    <s v="KBC"/>
    <x v="2"/>
    <x v="1"/>
    <s v="Gap"/>
    <s v="Not documented"/>
    <x v="1"/>
    <n v="0"/>
    <n v="0"/>
    <s v="No"/>
    <s v="No"/>
    <n v="0"/>
    <n v="2"/>
    <n v="2000"/>
    <n v="0"/>
    <n v="1"/>
    <s v="Ceramic Water filter"/>
    <n v="1"/>
    <n v="151"/>
    <n v="1"/>
    <n v="151"/>
    <n v="1"/>
    <n v="151"/>
    <x v="0"/>
    <n v="0"/>
    <n v="0"/>
    <n v="0"/>
    <n v="32"/>
    <n v="0"/>
    <n v="1"/>
    <n v="151"/>
    <m/>
    <n v="190"/>
    <n v="0"/>
    <m/>
    <n v="7"/>
    <x v="2"/>
    <x v="3"/>
    <n v="0.92715231788079466"/>
    <n v="140"/>
    <n v="0"/>
    <n v="0"/>
    <n v="0.92715231788079466"/>
    <n v="140"/>
    <n v="0"/>
    <n v="0.93"/>
    <n v="140.43"/>
    <n v="0.54999999999999982"/>
    <n v="2"/>
    <s v="Not separated yet"/>
    <n v="1"/>
    <n v="151"/>
    <n v="0"/>
    <n v="1"/>
    <n v="151"/>
    <n v="0"/>
    <n v="0"/>
    <n v="1.46"/>
    <n v="0"/>
    <s v="old 4 Hand washing were already out of used"/>
    <d v="2015-06-18T00:00:00"/>
    <s v="Blanket Consumable only"/>
    <m/>
    <d v="2016-06-17T00:00:00"/>
    <n v="31"/>
    <n v="0"/>
    <n v="1"/>
    <n v="0.96875"/>
    <n v="146.28125"/>
    <n v="8"/>
    <m/>
    <n v="0"/>
    <n v="0"/>
    <n v="2"/>
    <s v="Excellent coverage"/>
    <n v="0"/>
    <x v="2"/>
    <m/>
  </r>
  <r>
    <x v="12"/>
    <s v="MMR001CMP005"/>
    <x v="9"/>
    <x v="142"/>
    <n v="97.382192000000003"/>
    <n v="25.404015000000001"/>
    <x v="0"/>
    <x v="0"/>
    <x v="0"/>
    <x v="0"/>
    <n v="35"/>
    <n v="175"/>
    <n v="178"/>
    <n v="178"/>
    <x v="1"/>
    <s v="CIDA"/>
    <s v="KBC"/>
    <x v="2"/>
    <x v="1"/>
    <s v="Gap"/>
    <s v="Not documented"/>
    <x v="1"/>
    <n v="0"/>
    <n v="0"/>
    <s v="No"/>
    <s v="No"/>
    <n v="0"/>
    <n v="2"/>
    <n v="0"/>
    <n v="0"/>
    <n v="1"/>
    <s v="Ceramic Water filter"/>
    <n v="1"/>
    <n v="178"/>
    <n v="1"/>
    <n v="178"/>
    <n v="1"/>
    <n v="178"/>
    <x v="0"/>
    <n v="0"/>
    <n v="0"/>
    <n v="0"/>
    <n v="35"/>
    <n v="0"/>
    <n v="1"/>
    <n v="178"/>
    <m/>
    <n v="0"/>
    <n v="0"/>
    <m/>
    <n v="8"/>
    <x v="2"/>
    <x v="1"/>
    <n v="0.898876404494382"/>
    <n v="160"/>
    <n v="0"/>
    <n v="0"/>
    <n v="0.898876404494382"/>
    <n v="160"/>
    <n v="0"/>
    <n v="1"/>
    <n v="178"/>
    <n v="0.90000000000000036"/>
    <n v="1"/>
    <s v="Not separated yet"/>
    <n v="0.5617977528089888"/>
    <n v="100"/>
    <n v="0.75"/>
    <n v="0.56000000000000005"/>
    <n v="99.68"/>
    <n v="0"/>
    <n v="0"/>
    <n v="1.75"/>
    <n v="0"/>
    <s v="12 Hand washing were already out of used. "/>
    <d v="2015-06-18T00:00:00"/>
    <s v="Blanket Consumable only"/>
    <m/>
    <d v="2016-06-17T00:00:00"/>
    <n v="33"/>
    <n v="0"/>
    <n v="2"/>
    <n v="0.94285714285714284"/>
    <n v="167.82857142857142"/>
    <n v="8"/>
    <m/>
    <n v="0"/>
    <n v="0"/>
    <n v="0"/>
    <s v="No coverage"/>
    <n v="0"/>
    <x v="2"/>
    <m/>
  </r>
  <r>
    <x v="12"/>
    <s v="MMR001CMP022"/>
    <x v="9"/>
    <x v="143"/>
    <n v="97.403407999999999"/>
    <n v="25.377545999999999"/>
    <x v="0"/>
    <x v="0"/>
    <x v="0"/>
    <x v="0"/>
    <n v="7"/>
    <n v="34"/>
    <n v="34"/>
    <n v="37"/>
    <x v="1"/>
    <s v="AusAid"/>
    <s v="Shalom"/>
    <x v="2"/>
    <x v="1"/>
    <s v="Gap"/>
    <s v="Not documented"/>
    <x v="1"/>
    <n v="0"/>
    <n v="0"/>
    <s v="Yes"/>
    <s v="No"/>
    <n v="0"/>
    <n v="0"/>
    <n v="7200"/>
    <n v="0"/>
    <n v="0"/>
    <m/>
    <n v="1"/>
    <n v="37"/>
    <n v="1"/>
    <n v="37"/>
    <n v="1"/>
    <n v="37"/>
    <x v="0"/>
    <n v="0"/>
    <n v="0"/>
    <n v="9.2499999999999999E-2"/>
    <n v="0"/>
    <n v="0"/>
    <n v="1"/>
    <n v="37"/>
    <m/>
    <n v="21"/>
    <n v="0"/>
    <m/>
    <n v="6"/>
    <x v="1"/>
    <x v="0"/>
    <n v="1"/>
    <n v="37"/>
    <n v="0"/>
    <n v="0"/>
    <n v="1"/>
    <n v="37"/>
    <n v="0"/>
    <n v="1"/>
    <n v="37"/>
    <n v="0"/>
    <n v="1"/>
    <s v="Bathing Space shared by families , not separated"/>
    <n v="1"/>
    <n v="37"/>
    <n v="0"/>
    <n v="1"/>
    <n v="37"/>
    <n v="2"/>
    <n v="1"/>
    <n v="0"/>
    <n v="1"/>
    <m/>
    <d v="2015-02-13T00:00:00"/>
    <s v="Blanket Consumable only"/>
    <m/>
    <s v="To be realised"/>
    <n v="7"/>
    <n v="7"/>
    <n v="7"/>
    <n v="0"/>
    <n v="0"/>
    <n v="5"/>
    <m/>
    <n v="0"/>
    <n v="0"/>
    <n v="1"/>
    <s v="Excellent coverage"/>
    <n v="0"/>
    <x v="0"/>
    <m/>
  </r>
  <r>
    <x v="13"/>
    <s v="MMR015CMP215"/>
    <x v="5"/>
    <x v="144"/>
    <n v="97.709548999999996"/>
    <n v="23.838459"/>
    <x v="0"/>
    <x v="0"/>
    <x v="2"/>
    <x v="0"/>
    <n v="134"/>
    <n v="623"/>
    <n v="623"/>
    <n v="623"/>
    <x v="0"/>
    <s v="HIDA/WHH"/>
    <s v="KBC"/>
    <x v="1"/>
    <x v="0"/>
    <d v="2016-03-31T00:00:00"/>
    <s v="Focal NGO"/>
    <x v="0"/>
    <n v="0"/>
    <n v="0"/>
    <s v="Yes"/>
    <s v="No"/>
    <n v="0"/>
    <n v="0"/>
    <n v="35000"/>
    <n v="1"/>
    <n v="0"/>
    <m/>
    <n v="1"/>
    <n v="623"/>
    <n v="1"/>
    <n v="623"/>
    <n v="1"/>
    <n v="623"/>
    <x v="0"/>
    <n v="0"/>
    <n v="0"/>
    <n v="1.5575000000000001"/>
    <n v="0"/>
    <n v="623"/>
    <n v="1"/>
    <n v="623"/>
    <m/>
    <n v="1"/>
    <n v="2"/>
    <m/>
    <n v="20"/>
    <x v="1"/>
    <x v="2"/>
    <n v="0.7062600321027287"/>
    <n v="440"/>
    <n v="6.4205457463884397E-2"/>
    <n v="39.999999999999979"/>
    <n v="0.6420545746388443"/>
    <n v="400"/>
    <n v="10"/>
    <n v="0.79"/>
    <n v="492.17"/>
    <n v="21.15"/>
    <n v="6"/>
    <s v="Separate, clearly perceived"/>
    <n v="0.96308186195826651"/>
    <n v="600"/>
    <n v="0.23000000000000043"/>
    <n v="1"/>
    <n v="623"/>
    <n v="5"/>
    <n v="0.8025682182985554"/>
    <n v="1.2300000000000004"/>
    <n v="1"/>
    <m/>
    <d v="2015-05-01T00:00:00"/>
    <s v="Blanket Consumable only"/>
    <m/>
    <d v="2016-04-30T00:00:00"/>
    <n v="141"/>
    <n v="8"/>
    <n v="0"/>
    <n v="1"/>
    <n v="623"/>
    <n v="1"/>
    <m/>
    <n v="1"/>
    <n v="623"/>
    <n v="1"/>
    <s v="Good coverage"/>
    <n v="0"/>
    <x v="0"/>
    <m/>
  </r>
  <r>
    <x v="13"/>
    <s v="MMR015CMP214"/>
    <x v="5"/>
    <x v="145"/>
    <n v="97.701576000000003"/>
    <n v="23.842051000000001"/>
    <x v="0"/>
    <x v="0"/>
    <x v="2"/>
    <x v="0"/>
    <n v="37"/>
    <n v="214"/>
    <n v="200"/>
    <n v="200"/>
    <x v="1"/>
    <s v="HIDA/WHH"/>
    <s v="KBC"/>
    <x v="1"/>
    <x v="0"/>
    <d v="2016-03-31T00:00:00"/>
    <s v="Focal NGO"/>
    <x v="0"/>
    <n v="0"/>
    <n v="0"/>
    <s v="Yes"/>
    <s v="No"/>
    <n v="0"/>
    <n v="0"/>
    <n v="7000"/>
    <n v="1"/>
    <n v="1"/>
    <s v="Ceramic Water filter"/>
    <n v="1"/>
    <n v="200"/>
    <n v="1"/>
    <n v="200"/>
    <n v="1"/>
    <n v="200"/>
    <x v="0"/>
    <n v="0"/>
    <n v="0"/>
    <n v="0.5"/>
    <n v="37"/>
    <n v="200"/>
    <n v="1"/>
    <n v="200"/>
    <m/>
    <n v="4"/>
    <n v="6"/>
    <m/>
    <n v="0"/>
    <x v="1"/>
    <x v="1"/>
    <n v="0.6"/>
    <n v="120"/>
    <n v="0.6"/>
    <n v="120"/>
    <n v="0"/>
    <n v="0"/>
    <n v="2"/>
    <n v="0.61"/>
    <n v="122"/>
    <n v="12"/>
    <n v="3"/>
    <s v="Separate, clearly perceived"/>
    <n v="1"/>
    <n v="200"/>
    <n v="0"/>
    <n v="1"/>
    <n v="200"/>
    <n v="2"/>
    <n v="1"/>
    <n v="0.14000000000000012"/>
    <n v="1"/>
    <m/>
    <d v="2015-05-01T00:00:00"/>
    <s v="Blanket Consumable only"/>
    <m/>
    <d v="2016-04-30T00:00:00"/>
    <n v="59"/>
    <n v="8"/>
    <n v="0"/>
    <n v="1"/>
    <n v="200"/>
    <n v="1"/>
    <s v="Basic Hygiene kits already distributed by SCI and Overlappin with SCI"/>
    <n v="0.2"/>
    <n v="40"/>
    <n v="1"/>
    <s v="Excellent coverage"/>
    <n v="0"/>
    <x v="2"/>
    <m/>
  </r>
  <r>
    <x v="13"/>
    <s v="MMR015CMP004"/>
    <x v="5"/>
    <x v="146"/>
    <n v="97.681920000000005"/>
    <n v="23.821317000000001"/>
    <x v="0"/>
    <x v="0"/>
    <x v="0"/>
    <x v="0"/>
    <n v="77"/>
    <n v="384"/>
    <n v="386"/>
    <n v="386"/>
    <x v="0"/>
    <m/>
    <s v="KBC"/>
    <x v="2"/>
    <x v="1"/>
    <s v="Gap"/>
    <s v="Not documented"/>
    <x v="1"/>
    <n v="0"/>
    <n v="0"/>
    <s v="No"/>
    <s v="No"/>
    <n v="0"/>
    <n v="0"/>
    <n v="24000"/>
    <n v="1"/>
    <n v="0"/>
    <m/>
    <n v="1"/>
    <n v="386"/>
    <n v="1"/>
    <n v="386"/>
    <n v="1"/>
    <n v="386"/>
    <x v="0"/>
    <n v="0"/>
    <n v="0"/>
    <n v="0.96499999999999997"/>
    <n v="0"/>
    <n v="386"/>
    <n v="1"/>
    <n v="386"/>
    <m/>
    <n v="78"/>
    <n v="18"/>
    <m/>
    <n v="1"/>
    <x v="1"/>
    <x v="0"/>
    <n v="0.98445595854922274"/>
    <n v="380"/>
    <n v="0.93264248704663211"/>
    <n v="360"/>
    <n v="5.181347150259067E-2"/>
    <n v="20"/>
    <n v="1"/>
    <n v="1"/>
    <n v="386"/>
    <n v="19.3"/>
    <n v="2"/>
    <s v="Not separated yet"/>
    <n v="0.51813471502590669"/>
    <n v="199.99999999999997"/>
    <n v="1.8399999999999999"/>
    <n v="0.53"/>
    <n v="204.58"/>
    <n v="3"/>
    <n v="0.77720207253886009"/>
    <n v="0.83999999999999986"/>
    <n v="0.78"/>
    <s v="Land owner not  allow  to construct semi latrines and they have plan to move to new place"/>
    <d v="2014-12-10T00:00:00"/>
    <s v="Blanket Full HK + consumable refilling"/>
    <n v="0"/>
    <s v="To be realised"/>
    <n v="77"/>
    <n v="20"/>
    <n v="77"/>
    <n v="0"/>
    <n v="0"/>
    <n v="0"/>
    <s v="Basic Hygiene kits already distributed by SCI and Overlappin with SCI"/>
    <n v="0"/>
    <n v="0"/>
    <n v="0"/>
    <s v="No coverage"/>
    <n v="0"/>
    <x v="2"/>
    <m/>
  </r>
  <r>
    <x v="13"/>
    <s v="MMR015CMP001"/>
    <x v="5"/>
    <x v="147"/>
    <n v="97.683499999999995"/>
    <n v="23.831700000000001"/>
    <x v="0"/>
    <x v="0"/>
    <x v="0"/>
    <x v="0"/>
    <n v="73"/>
    <n v="393"/>
    <n v="366"/>
    <n v="366"/>
    <x v="0"/>
    <s v="ECHO"/>
    <s v="KBC"/>
    <x v="6"/>
    <x v="0"/>
    <d v="2016-08-31T00:00:00"/>
    <s v="Focal NGO"/>
    <x v="0"/>
    <n v="0"/>
    <n v="0"/>
    <s v="No"/>
    <s v="No"/>
    <n v="0"/>
    <n v="0"/>
    <n v="30240"/>
    <n v="1"/>
    <n v="0"/>
    <m/>
    <n v="1"/>
    <n v="366"/>
    <n v="1"/>
    <n v="366"/>
    <n v="1"/>
    <n v="366"/>
    <x v="0"/>
    <n v="0"/>
    <n v="0"/>
    <n v="0.91500000000000004"/>
    <n v="0"/>
    <n v="366"/>
    <n v="1"/>
    <n v="366"/>
    <m/>
    <n v="0"/>
    <m/>
    <m/>
    <n v="10"/>
    <x v="2"/>
    <x v="3"/>
    <n v="0.54644808743169404"/>
    <n v="200.00000000000003"/>
    <n v="0"/>
    <n v="0"/>
    <n v="0.54644808743169404"/>
    <n v="200.00000000000003"/>
    <n v="3"/>
    <n v="0.82"/>
    <n v="300.12"/>
    <n v="11.3"/>
    <n v="2"/>
    <s v="Separate, clearly perceived"/>
    <n v="0.54644808743169404"/>
    <n v="200.00000000000003"/>
    <n v="1.9300000000000002"/>
    <n v="0.55000000000000004"/>
    <n v="201.3"/>
    <n v="2"/>
    <n v="0.54644808743169404"/>
    <n v="1.9300000000000002"/>
    <n v="1"/>
    <s v="SCI have plan to do desludging"/>
    <d v="2014-12-10T00:00:00"/>
    <s v="Blanket Full HK + consumable refilling"/>
    <n v="0"/>
    <s v="To be realised"/>
    <n v="73"/>
    <n v="20"/>
    <n v="73"/>
    <n v="0"/>
    <n v="0"/>
    <n v="0"/>
    <m/>
    <n v="0"/>
    <n v="0"/>
    <n v="4"/>
    <s v="Excellent coverage"/>
    <n v="0"/>
    <x v="0"/>
    <m/>
  </r>
  <r>
    <x v="13"/>
    <s v="MMR015CMP003"/>
    <x v="5"/>
    <x v="148"/>
    <n v="97.685199999999995"/>
    <n v="23.833100000000002"/>
    <x v="0"/>
    <x v="0"/>
    <x v="0"/>
    <x v="0"/>
    <n v="50"/>
    <n v="218"/>
    <n v="212"/>
    <n v="212"/>
    <x v="1"/>
    <s v="ECHO"/>
    <s v="KMSS"/>
    <x v="6"/>
    <x v="0"/>
    <d v="2016-08-31T00:00:00"/>
    <s v="Focal NGO"/>
    <x v="0"/>
    <n v="0"/>
    <n v="0"/>
    <s v="No"/>
    <s v="No"/>
    <n v="1"/>
    <n v="0"/>
    <n v="35500"/>
    <n v="1"/>
    <n v="1"/>
    <s v="Ceramic Water filter"/>
    <n v="1"/>
    <n v="212"/>
    <n v="1"/>
    <n v="212"/>
    <n v="1"/>
    <n v="212"/>
    <x v="0"/>
    <n v="0"/>
    <n v="0"/>
    <n v="0"/>
    <n v="50"/>
    <n v="212"/>
    <n v="1"/>
    <n v="212"/>
    <m/>
    <n v="0"/>
    <m/>
    <m/>
    <n v="15"/>
    <x v="2"/>
    <x v="3"/>
    <n v="1"/>
    <n v="212"/>
    <n v="0"/>
    <n v="0"/>
    <n v="1"/>
    <n v="212"/>
    <n v="3"/>
    <n v="1"/>
    <n v="212"/>
    <n v="0"/>
    <n v="2"/>
    <s v="Separate, clearly perceived"/>
    <n v="0.94339622641509435"/>
    <n v="200"/>
    <n v="0.18000000000000016"/>
    <n v="0.94"/>
    <n v="199.28"/>
    <n v="0"/>
    <n v="0"/>
    <n v="2.1800000000000002"/>
    <n v="0"/>
    <s v="KMSS has a desluging Plan"/>
    <d v="2014-12-10T00:00:00"/>
    <s v="Blanket Consumable only"/>
    <n v="0"/>
    <s v="To be realised"/>
    <n v="53"/>
    <n v="17"/>
    <n v="50"/>
    <n v="0"/>
    <n v="0"/>
    <n v="0"/>
    <m/>
    <n v="1"/>
    <n v="212"/>
    <n v="0"/>
    <s v="No coverage"/>
    <n v="0"/>
    <x v="0"/>
    <m/>
  </r>
  <r>
    <x v="14"/>
    <s v="MMR015CMP210"/>
    <x v="6"/>
    <x v="149"/>
    <n v="97.398989"/>
    <n v="23.088058"/>
    <x v="1"/>
    <x v="1"/>
    <x v="2"/>
    <x v="1"/>
    <n v="118"/>
    <n v="520"/>
    <n v="446"/>
    <n v="446"/>
    <x v="0"/>
    <m/>
    <s v="KMSS"/>
    <x v="2"/>
    <x v="1"/>
    <s v="Gap"/>
    <s v="Not documented"/>
    <x v="1"/>
    <n v="0"/>
    <n v="0"/>
    <s v="No"/>
    <s v="No"/>
    <n v="0"/>
    <n v="0"/>
    <n v="0"/>
    <n v="0"/>
    <n v="0"/>
    <m/>
    <n v="0"/>
    <n v="0"/>
    <n v="0"/>
    <n v="0"/>
    <n v="0"/>
    <n v="0"/>
    <x v="1"/>
    <n v="0"/>
    <n v="0"/>
    <n v="1.115"/>
    <n v="0"/>
    <n v="0"/>
    <n v="0"/>
    <n v="0"/>
    <m/>
    <n v="11"/>
    <n v="0"/>
    <m/>
    <n v="0"/>
    <x v="2"/>
    <x v="1"/>
    <n v="0"/>
    <n v="0"/>
    <n v="0"/>
    <n v="0"/>
    <n v="0"/>
    <n v="0"/>
    <n v="0"/>
    <n v="0"/>
    <n v="0"/>
    <n v="22.3"/>
    <n v="0"/>
    <s v="Not separated yet"/>
    <n v="0"/>
    <n v="0"/>
    <n v="5.2"/>
    <n v="0"/>
    <n v="0"/>
    <n v="0"/>
    <n v="0"/>
    <n v="5.2"/>
    <n v="0"/>
    <m/>
    <m/>
    <s v="No more HK distribution"/>
    <n v="0"/>
    <s v="To be realised"/>
    <n v="0"/>
    <n v="0"/>
    <n v="118"/>
    <n v="0"/>
    <n v="0"/>
    <s v="Column BN to be completed"/>
    <m/>
    <n v="0"/>
    <n v="0"/>
    <n v="0"/>
    <s v="No coverage"/>
    <n v="0"/>
    <x v="2"/>
    <m/>
  </r>
  <r>
    <x v="14"/>
    <s v="MMR015CMP019"/>
    <x v="6"/>
    <x v="150"/>
    <n v="97.406869999999998"/>
    <n v="23.092880000000001"/>
    <x v="0"/>
    <x v="0"/>
    <x v="1"/>
    <x v="0"/>
    <n v="9"/>
    <n v="52"/>
    <n v="39"/>
    <n v="39"/>
    <x v="1"/>
    <s v="HIDA/WHH"/>
    <s v=" "/>
    <x v="1"/>
    <x v="0"/>
    <d v="2016-03-31T00:00:00"/>
    <s v="Focal NGO"/>
    <x v="0"/>
    <n v="0"/>
    <n v="0"/>
    <s v="No"/>
    <s v="No"/>
    <n v="0"/>
    <n v="0"/>
    <n v="2000"/>
    <n v="1"/>
    <n v="0"/>
    <m/>
    <n v="1"/>
    <n v="39"/>
    <n v="1"/>
    <n v="39"/>
    <n v="1"/>
    <n v="39"/>
    <x v="0"/>
    <n v="0"/>
    <n v="0"/>
    <n v="9.7500000000000003E-2"/>
    <n v="0"/>
    <n v="39"/>
    <n v="1"/>
    <n v="39"/>
    <m/>
    <n v="80"/>
    <n v="1"/>
    <m/>
    <n v="2"/>
    <x v="0"/>
    <x v="0"/>
    <n v="1"/>
    <n v="39"/>
    <n v="0"/>
    <n v="0"/>
    <n v="1"/>
    <n v="39"/>
    <n v="1"/>
    <n v="1"/>
    <n v="39"/>
    <n v="0.95"/>
    <n v="1"/>
    <s v="Not separated yet"/>
    <n v="1"/>
    <n v="39"/>
    <n v="0"/>
    <n v="1"/>
    <n v="39"/>
    <n v="2"/>
    <n v="1"/>
    <n v="0"/>
    <n v="1"/>
    <m/>
    <d v="2015-05-01T00:00:00"/>
    <s v="Blanket Consumable only"/>
    <m/>
    <d v="2016-04-30T00:00:00"/>
    <n v="14"/>
    <n v="8"/>
    <n v="0"/>
    <n v="1"/>
    <n v="39"/>
    <n v="1"/>
    <m/>
    <n v="0"/>
    <n v="0"/>
    <n v="1"/>
    <s v="Excellent coverage"/>
    <n v="0"/>
    <x v="0"/>
    <m/>
  </r>
  <r>
    <x v="15"/>
    <s v="MMR001CMP075"/>
    <x v="1"/>
    <x v="151"/>
    <n v="97.418279999999996"/>
    <n v="27.310880000000001"/>
    <x v="1"/>
    <x v="0"/>
    <x v="0"/>
    <x v="1"/>
    <n v="14"/>
    <n v="64"/>
    <n v="64"/>
    <n v="64"/>
    <x v="1"/>
    <m/>
    <m/>
    <x v="2"/>
    <x v="1"/>
    <s v="Gap"/>
    <s v="Not documented"/>
    <x v="1"/>
    <n v="0"/>
    <n v="0"/>
    <s v="No"/>
    <s v="No"/>
    <n v="1"/>
    <n v="0"/>
    <n v="0"/>
    <n v="0"/>
    <n v="0"/>
    <m/>
    <n v="1"/>
    <n v="64"/>
    <n v="1"/>
    <n v="64"/>
    <n v="1"/>
    <n v="64"/>
    <x v="0"/>
    <n v="0"/>
    <n v="0"/>
    <n v="0"/>
    <n v="0"/>
    <n v="0"/>
    <n v="1"/>
    <n v="64"/>
    <m/>
    <n v="0"/>
    <n v="14"/>
    <m/>
    <n v="0"/>
    <x v="2"/>
    <x v="0"/>
    <n v="1"/>
    <n v="64"/>
    <n v="1"/>
    <n v="64"/>
    <n v="0"/>
    <n v="0"/>
    <n v="0"/>
    <n v="1"/>
    <n v="64"/>
    <n v="3.2"/>
    <n v="0"/>
    <s v="Not separated yet"/>
    <n v="0"/>
    <n v="0"/>
    <n v="0.64"/>
    <n v="0"/>
    <n v="0"/>
    <n v="0"/>
    <n v="0"/>
    <n v="0.64"/>
    <n v="0"/>
    <m/>
    <m/>
    <s v="No more HK distribution"/>
    <n v="0"/>
    <s v="To be realised"/>
    <n v="0"/>
    <n v="0"/>
    <n v="14"/>
    <n v="0"/>
    <n v="0"/>
    <s v="Column BN to be completed"/>
    <m/>
    <n v="0"/>
    <n v="0"/>
    <n v="2"/>
    <s v="Excellent coverage"/>
    <n v="0"/>
    <x v="2"/>
    <m/>
  </r>
  <r>
    <x v="15"/>
    <s v="MMR001CMP234"/>
    <x v="1"/>
    <x v="152"/>
    <m/>
    <m/>
    <x v="0"/>
    <x v="0"/>
    <x v="2"/>
    <x v="0"/>
    <n v="91"/>
    <n v="400"/>
    <n v="310"/>
    <n v="310"/>
    <x v="0"/>
    <s v="CIDA"/>
    <s v="KBC"/>
    <x v="2"/>
    <x v="1"/>
    <s v="Gap"/>
    <s v="Not documented"/>
    <x v="1"/>
    <n v="0"/>
    <n v="0"/>
    <s v="Yes"/>
    <s v="No"/>
    <n v="1"/>
    <n v="0"/>
    <n v="0"/>
    <n v="0"/>
    <n v="0"/>
    <m/>
    <n v="1"/>
    <n v="310"/>
    <n v="1"/>
    <n v="310"/>
    <n v="1"/>
    <n v="310"/>
    <x v="0"/>
    <n v="0"/>
    <n v="0"/>
    <n v="0"/>
    <n v="0"/>
    <n v="0"/>
    <n v="1"/>
    <n v="310"/>
    <m/>
    <n v="0"/>
    <n v="8"/>
    <m/>
    <n v="10"/>
    <x v="4"/>
    <x v="0"/>
    <n v="1"/>
    <n v="310"/>
    <n v="0.35483870967741937"/>
    <n v="110"/>
    <n v="0.64516129032258063"/>
    <n v="200"/>
    <n v="0"/>
    <n v="1"/>
    <n v="310"/>
    <n v="5.5"/>
    <n v="2"/>
    <s v="Separate, clearly perceived"/>
    <n v="0.64516129032258063"/>
    <n v="200"/>
    <n v="2"/>
    <n v="1"/>
    <n v="310"/>
    <n v="2"/>
    <n v="0.64516129032258063"/>
    <n v="2"/>
    <n v="0.65"/>
    <s v=" semi-permanent construciton is ongoing"/>
    <d v="2015-05-05T00:00:00"/>
    <s v="Blanket Consumable only"/>
    <m/>
    <d v="2016-05-04T00:00:00"/>
    <n v="80"/>
    <n v="4"/>
    <n v="11"/>
    <n v="0.87912087912087911"/>
    <n v="272.52747252747253"/>
    <n v="5"/>
    <m/>
    <n v="0"/>
    <n v="0"/>
    <n v="2"/>
    <s v="Excellent coverage"/>
    <n v="0"/>
    <x v="2"/>
    <m/>
  </r>
  <r>
    <x v="15"/>
    <s v="MMR001CMP227"/>
    <x v="1"/>
    <x v="153"/>
    <n v="97.561105999999995"/>
    <n v="27.248964999999998"/>
    <x v="1"/>
    <x v="0"/>
    <x v="2"/>
    <x v="1"/>
    <n v="10"/>
    <n v="56"/>
    <n v="52"/>
    <n v="52"/>
    <x v="1"/>
    <m/>
    <m/>
    <x v="2"/>
    <x v="1"/>
    <s v="Gap"/>
    <s v="Not documented"/>
    <x v="1"/>
    <n v="0"/>
    <n v="0"/>
    <s v="No"/>
    <s v="No"/>
    <n v="1"/>
    <n v="0"/>
    <n v="0"/>
    <n v="0"/>
    <n v="0"/>
    <m/>
    <n v="1"/>
    <n v="52"/>
    <n v="1"/>
    <n v="52"/>
    <n v="1"/>
    <n v="52"/>
    <x v="0"/>
    <n v="0"/>
    <n v="0"/>
    <n v="0"/>
    <n v="0"/>
    <n v="0"/>
    <n v="1"/>
    <n v="52"/>
    <m/>
    <n v="0"/>
    <n v="10"/>
    <m/>
    <n v="0"/>
    <x v="2"/>
    <x v="0"/>
    <n v="1"/>
    <n v="52"/>
    <n v="1"/>
    <n v="52"/>
    <n v="0"/>
    <n v="0"/>
    <n v="0"/>
    <n v="1"/>
    <n v="52"/>
    <n v="2.6"/>
    <n v="0"/>
    <s v="Not separated yet"/>
    <n v="0"/>
    <n v="0"/>
    <n v="0.56000000000000005"/>
    <n v="0"/>
    <n v="0"/>
    <n v="0"/>
    <n v="0"/>
    <n v="0.56000000000000005"/>
    <n v="0"/>
    <m/>
    <m/>
    <s v="No more HK distribution"/>
    <n v="0"/>
    <s v="To be realised"/>
    <n v="0"/>
    <n v="0"/>
    <n v="10"/>
    <n v="0"/>
    <n v="0"/>
    <s v="Column BN to be completed"/>
    <m/>
    <n v="0"/>
    <n v="0"/>
    <n v="2"/>
    <s v="Excellent coverage"/>
    <n v="0"/>
    <x v="0"/>
    <m/>
  </r>
  <r>
    <x v="16"/>
    <s v="MMR001CMP147"/>
    <x v="0"/>
    <x v="154"/>
    <m/>
    <m/>
    <x v="0"/>
    <x v="1"/>
    <x v="2"/>
    <x v="0"/>
    <n v="375"/>
    <n v="1691"/>
    <n v="68"/>
    <n v="68"/>
    <x v="3"/>
    <s v="DFID"/>
    <s v="KMSS"/>
    <x v="2"/>
    <x v="1"/>
    <s v="Gap"/>
    <s v="Not documented"/>
    <x v="1"/>
    <n v="0"/>
    <n v="0"/>
    <s v="No"/>
    <s v="No"/>
    <n v="0"/>
    <n v="0"/>
    <n v="1500"/>
    <n v="0"/>
    <n v="0"/>
    <m/>
    <n v="1"/>
    <n v="68"/>
    <n v="1"/>
    <n v="68"/>
    <n v="1"/>
    <n v="68"/>
    <x v="0"/>
    <n v="0"/>
    <n v="0"/>
    <n v="0.17"/>
    <n v="0"/>
    <n v="0"/>
    <n v="1"/>
    <n v="68"/>
    <m/>
    <n v="0"/>
    <n v="0"/>
    <m/>
    <n v="3"/>
    <x v="1"/>
    <x v="0"/>
    <n v="0.88235294117647056"/>
    <n v="60"/>
    <n v="0"/>
    <n v="0"/>
    <n v="0.88235294117647056"/>
    <n v="60"/>
    <n v="0"/>
    <n v="0.89"/>
    <n v="60.52"/>
    <n v="0.39999999999999991"/>
    <n v="0"/>
    <s v="Not separated yet"/>
    <n v="0"/>
    <n v="0"/>
    <n v="16.91"/>
    <n v="0"/>
    <n v="0"/>
    <n v="0"/>
    <n v="0"/>
    <n v="16.91"/>
    <n v="0"/>
    <m/>
    <m/>
    <s v="Blanket Consumable only"/>
    <n v="0"/>
    <s v="To be realised"/>
    <n v="0"/>
    <n v="0"/>
    <n v="375"/>
    <n v="0"/>
    <n v="0"/>
    <s v="Column BN to be completed"/>
    <m/>
    <n v="0"/>
    <n v="0"/>
    <n v="2"/>
    <s v="Excellent coverage"/>
    <n v="0"/>
    <x v="0"/>
    <m/>
  </r>
  <r>
    <x v="16"/>
    <s v="MMR001CMP067"/>
    <x v="0"/>
    <x v="155"/>
    <n v="96.807353000000006"/>
    <n v="24.200361000000001"/>
    <x v="0"/>
    <x v="0"/>
    <x v="0"/>
    <x v="0"/>
    <n v="80"/>
    <n v="279"/>
    <n v="306"/>
    <n v="306"/>
    <x v="0"/>
    <s v="HIDA, WHH,USAID,UNICEF"/>
    <s v="KBC"/>
    <x v="1"/>
    <x v="0"/>
    <d v="2016-05-31T00:00:00"/>
    <s v="Focal NGO"/>
    <x v="0"/>
    <n v="0"/>
    <n v="0"/>
    <s v="No"/>
    <s v="No"/>
    <n v="0"/>
    <n v="1"/>
    <n v="11745"/>
    <n v="0.01"/>
    <n v="0"/>
    <m/>
    <n v="1"/>
    <n v="306"/>
    <n v="1"/>
    <n v="306"/>
    <n v="1"/>
    <n v="306"/>
    <x v="0"/>
    <n v="0"/>
    <n v="0"/>
    <n v="0"/>
    <n v="0"/>
    <n v="3.06"/>
    <n v="1"/>
    <n v="306"/>
    <m/>
    <n v="6"/>
    <n v="7"/>
    <m/>
    <n v="8"/>
    <x v="1"/>
    <x v="0"/>
    <n v="0.98039215686274506"/>
    <n v="300"/>
    <n v="0.45751633986928097"/>
    <n v="139.99999999999997"/>
    <n v="0.52287581699346408"/>
    <n v="160"/>
    <n v="0"/>
    <n v="1"/>
    <n v="306"/>
    <n v="7.3000000000000007"/>
    <n v="5"/>
    <s v="Not separated yet"/>
    <n v="1"/>
    <n v="306"/>
    <n v="0"/>
    <n v="1"/>
    <n v="306"/>
    <n v="4"/>
    <n v="1"/>
    <n v="0"/>
    <n v="1"/>
    <m/>
    <d v="2014-05-20T00:00:00"/>
    <s v="Blanket Consumable only"/>
    <n v="0"/>
    <s v="To be realised"/>
    <n v="70"/>
    <n v="10"/>
    <n v="80"/>
    <n v="0"/>
    <n v="0"/>
    <n v="11"/>
    <m/>
    <n v="1"/>
    <n v="306"/>
    <n v="1"/>
    <s v="Excellent coverage"/>
    <n v="0"/>
    <x v="0"/>
    <m/>
  </r>
  <r>
    <x v="16"/>
    <s v="MMR001CMP068"/>
    <x v="0"/>
    <x v="156"/>
    <n v="96.807353000000006"/>
    <n v="24.200367"/>
    <x v="0"/>
    <x v="0"/>
    <x v="0"/>
    <x v="0"/>
    <n v="40"/>
    <n v="208"/>
    <n v="218"/>
    <n v="218"/>
    <x v="1"/>
    <s v="HIDA, WHH,USAID,UNICEF"/>
    <s v="KMSS"/>
    <x v="1"/>
    <x v="0"/>
    <d v="2016-05-31T00:00:00"/>
    <s v="Focal NGO"/>
    <x v="0"/>
    <n v="0"/>
    <n v="0"/>
    <s v="No"/>
    <s v="No"/>
    <n v="0"/>
    <n v="3"/>
    <n v="4000"/>
    <n v="0"/>
    <n v="0"/>
    <m/>
    <n v="1"/>
    <n v="218"/>
    <n v="1"/>
    <n v="218"/>
    <n v="1"/>
    <n v="218"/>
    <x v="0"/>
    <n v="0"/>
    <n v="0"/>
    <n v="0"/>
    <n v="0"/>
    <n v="0"/>
    <n v="1"/>
    <n v="218"/>
    <m/>
    <n v="0"/>
    <n v="7"/>
    <m/>
    <n v="8"/>
    <x v="1"/>
    <x v="0"/>
    <n v="1"/>
    <n v="218"/>
    <n v="0.26605504587155959"/>
    <n v="57.999999999999993"/>
    <n v="0.73394495412844041"/>
    <n v="160"/>
    <n v="0"/>
    <n v="1"/>
    <n v="218"/>
    <n v="2.9000000000000004"/>
    <n v="3"/>
    <s v="Not separated yet"/>
    <n v="1"/>
    <n v="218"/>
    <n v="0"/>
    <n v="1"/>
    <n v="218"/>
    <n v="2"/>
    <n v="0.91743119266055051"/>
    <n v="8.0000000000000071E-2"/>
    <n v="0.92"/>
    <m/>
    <d v="2014-05-20T00:00:00"/>
    <s v="Blanket Consumable only"/>
    <n v="0"/>
    <s v="To be realised"/>
    <n v="54"/>
    <n v="10"/>
    <n v="40"/>
    <n v="0"/>
    <n v="0"/>
    <n v="11"/>
    <m/>
    <n v="0.8"/>
    <n v="174.4"/>
    <n v="1"/>
    <s v="Excellent coverage"/>
    <n v="0"/>
    <x v="2"/>
    <m/>
  </r>
  <r>
    <x v="16"/>
    <s v="MMR001CMP199"/>
    <x v="0"/>
    <x v="157"/>
    <n v="96.807350999999997"/>
    <n v="24.200362999999999"/>
    <x v="1"/>
    <x v="0"/>
    <x v="0"/>
    <x v="1"/>
    <n v="9"/>
    <n v="30"/>
    <n v="40"/>
    <n v="40"/>
    <x v="1"/>
    <m/>
    <m/>
    <x v="2"/>
    <x v="1"/>
    <s v="Gap"/>
    <s v="Not documented"/>
    <x v="1"/>
    <n v="0"/>
    <n v="0"/>
    <s v="No"/>
    <s v="No"/>
    <n v="0"/>
    <n v="0"/>
    <n v="0"/>
    <n v="0"/>
    <n v="0"/>
    <m/>
    <n v="0"/>
    <n v="0"/>
    <n v="0"/>
    <n v="0"/>
    <n v="0"/>
    <n v="0"/>
    <x v="1"/>
    <n v="0"/>
    <n v="0"/>
    <n v="0.1"/>
    <n v="0"/>
    <n v="0"/>
    <n v="0"/>
    <n v="0"/>
    <m/>
    <n v="44"/>
    <n v="0"/>
    <m/>
    <n v="0"/>
    <x v="2"/>
    <x v="0"/>
    <n v="0"/>
    <n v="0"/>
    <n v="0"/>
    <n v="0"/>
    <n v="0"/>
    <n v="0"/>
    <n v="0"/>
    <n v="0"/>
    <n v="0"/>
    <n v="2"/>
    <n v="0"/>
    <s v="Not separated yet"/>
    <n v="0"/>
    <n v="0"/>
    <n v="0.3"/>
    <n v="0"/>
    <n v="0"/>
    <n v="0"/>
    <n v="0"/>
    <n v="0.3"/>
    <n v="0"/>
    <m/>
    <m/>
    <s v="No more HK distribution"/>
    <n v="0"/>
    <s v="To be realised"/>
    <n v="0"/>
    <n v="0"/>
    <n v="9"/>
    <n v="0"/>
    <n v="0"/>
    <s v="Column BN to be completed"/>
    <m/>
    <n v="0"/>
    <n v="0"/>
    <n v="1"/>
    <s v="Excellent coverage"/>
    <n v="0"/>
    <x v="1"/>
    <m/>
  </r>
  <r>
    <x v="17"/>
    <s v="MMR001CMP238"/>
    <x v="1"/>
    <x v="158"/>
    <n v="97.745480999999998"/>
    <n v="26.569633"/>
    <x v="0"/>
    <x v="0"/>
    <x v="2"/>
    <x v="0"/>
    <n v="161"/>
    <n v="711"/>
    <m/>
    <n v="711"/>
    <x v="0"/>
    <m/>
    <m/>
    <x v="2"/>
    <x v="1"/>
    <s v="Gap"/>
    <s v="Not documented"/>
    <x v="1"/>
    <n v="0"/>
    <n v="0"/>
    <s v="No"/>
    <s v="No"/>
    <n v="0"/>
    <n v="0"/>
    <n v="0"/>
    <n v="0"/>
    <n v="0"/>
    <m/>
    <n v="0"/>
    <n v="0"/>
    <n v="0"/>
    <n v="0"/>
    <n v="0"/>
    <n v="0"/>
    <x v="1"/>
    <n v="0"/>
    <n v="0"/>
    <n v="1.7775000000000001"/>
    <n v="0"/>
    <n v="0"/>
    <n v="0"/>
    <n v="0"/>
    <m/>
    <n v="0"/>
    <n v="0"/>
    <m/>
    <n v="14"/>
    <x v="2"/>
    <x v="0"/>
    <n v="0.39381153305203936"/>
    <n v="280"/>
    <n v="0"/>
    <n v="0"/>
    <n v="0.39381153305203936"/>
    <n v="280"/>
    <n v="0"/>
    <n v="0.39"/>
    <n v="277.29000000000002"/>
    <n v="21.549999999999997"/>
    <n v="0"/>
    <s v="Not separated yet"/>
    <n v="0"/>
    <n v="0"/>
    <n v="7.11"/>
    <n v="0"/>
    <n v="0"/>
    <n v="0"/>
    <n v="0"/>
    <n v="7.11"/>
    <n v="0"/>
    <m/>
    <m/>
    <m/>
    <m/>
    <s v="To be realised"/>
    <m/>
    <m/>
    <n v="161"/>
    <n v="0"/>
    <n v="0"/>
    <s v="Column BN to be completed"/>
    <m/>
    <n v="0"/>
    <n v="0"/>
    <n v="2"/>
    <s v="Excellent coverage"/>
    <n v="0"/>
    <x v="0"/>
    <m/>
  </r>
  <r>
    <x v="17"/>
    <s v="MMR001CMP239"/>
    <x v="1"/>
    <x v="159"/>
    <n v="97.75609"/>
    <n v="26.548506"/>
    <x v="0"/>
    <x v="0"/>
    <x v="2"/>
    <x v="0"/>
    <n v="98"/>
    <n v="489"/>
    <m/>
    <n v="489"/>
    <x v="0"/>
    <m/>
    <m/>
    <x v="2"/>
    <x v="1"/>
    <s v="Gap"/>
    <s v="Not documented"/>
    <x v="1"/>
    <n v="0"/>
    <n v="0"/>
    <s v="No"/>
    <s v="No"/>
    <n v="0"/>
    <n v="0"/>
    <n v="0"/>
    <n v="0"/>
    <n v="0"/>
    <m/>
    <n v="0"/>
    <n v="0"/>
    <n v="0"/>
    <n v="0"/>
    <n v="0"/>
    <n v="0"/>
    <x v="1"/>
    <n v="0"/>
    <n v="0"/>
    <n v="1.2224999999999999"/>
    <n v="0"/>
    <n v="0"/>
    <n v="0"/>
    <n v="0"/>
    <m/>
    <n v="0"/>
    <n v="2"/>
    <m/>
    <n v="3"/>
    <x v="2"/>
    <x v="0"/>
    <n v="0.20449897750511248"/>
    <n v="100"/>
    <n v="8.1799591002044994E-2"/>
    <n v="40"/>
    <n v="0.12269938650306748"/>
    <n v="60"/>
    <n v="0"/>
    <n v="0.2"/>
    <n v="97.800000000000011"/>
    <n v="21.45"/>
    <n v="0"/>
    <s v="Not separated yet"/>
    <n v="0"/>
    <n v="0"/>
    <n v="4.8899999999999997"/>
    <n v="0"/>
    <n v="0"/>
    <n v="0"/>
    <n v="0"/>
    <n v="4.8899999999999997"/>
    <n v="0"/>
    <m/>
    <m/>
    <m/>
    <m/>
    <s v="To be realised"/>
    <m/>
    <m/>
    <n v="98"/>
    <n v="0"/>
    <n v="0"/>
    <s v="Column BN to be completed"/>
    <m/>
    <n v="0"/>
    <n v="0"/>
    <n v="2"/>
    <s v="Excellent coverage"/>
    <n v="0"/>
    <x v="0"/>
    <m/>
  </r>
  <r>
    <x v="18"/>
    <s v="MMR001CMP113"/>
    <x v="8"/>
    <x v="160"/>
    <n v="97.915833000000006"/>
    <n v="25.220278"/>
    <x v="0"/>
    <x v="1"/>
    <x v="2"/>
    <x v="0"/>
    <n v="156"/>
    <n v="641"/>
    <n v="645"/>
    <n v="645"/>
    <x v="0"/>
    <s v="DFID"/>
    <s v="IRRC"/>
    <x v="3"/>
    <x v="0"/>
    <d v="2016-12-31T00:00:00"/>
    <s v="Focal NGO"/>
    <x v="0"/>
    <n v="0"/>
    <n v="0"/>
    <s v="No"/>
    <s v="No"/>
    <n v="0"/>
    <n v="0"/>
    <n v="15000"/>
    <n v="0"/>
    <n v="1"/>
    <m/>
    <n v="1"/>
    <n v="645"/>
    <n v="1"/>
    <n v="645"/>
    <n v="1"/>
    <n v="645"/>
    <x v="0"/>
    <n v="0"/>
    <n v="0"/>
    <n v="1.6125"/>
    <n v="156"/>
    <n v="0"/>
    <n v="1"/>
    <n v="645"/>
    <m/>
    <n v="0"/>
    <n v="95"/>
    <m/>
    <n v="8"/>
    <x v="1"/>
    <x v="0"/>
    <n v="1"/>
    <n v="645"/>
    <n v="0.75193798449612403"/>
    <n v="485"/>
    <n v="0.24806201550387597"/>
    <n v="160"/>
    <n v="0"/>
    <n v="1"/>
    <n v="645"/>
    <n v="24.25"/>
    <n v="1"/>
    <s v="Separate, clearly perceived"/>
    <n v="0.15503875968992248"/>
    <n v="100"/>
    <n v="5.41"/>
    <n v="0.16"/>
    <n v="103.2"/>
    <n v="4"/>
    <n v="0.62015503875968991"/>
    <n v="2.41"/>
    <n v="0.62"/>
    <m/>
    <d v="2015-12-03T00:00:00"/>
    <s v="Blanket Consumable only"/>
    <n v="0"/>
    <d v="2016-12-02T00:00:00"/>
    <n v="133"/>
    <n v="6"/>
    <n v="23"/>
    <n v="0.85256410256410253"/>
    <n v="549.90384615384619"/>
    <n v="0"/>
    <m/>
    <n v="0"/>
    <n v="0"/>
    <n v="1"/>
    <s v="Good coverage"/>
    <n v="0"/>
    <x v="0"/>
    <m/>
  </r>
  <r>
    <x v="18"/>
    <s v="MMR001CMP208"/>
    <x v="8"/>
    <x v="161"/>
    <n v="97.541793999999996"/>
    <n v="24.752471"/>
    <x v="2"/>
    <x v="1"/>
    <x v="2"/>
    <x v="2"/>
    <m/>
    <n v="1049"/>
    <n v="405"/>
    <n v="644"/>
    <x v="1"/>
    <s v="WHH"/>
    <s v="IRRC"/>
    <x v="2"/>
    <x v="1"/>
    <s v="Gap"/>
    <s v="Not documented"/>
    <x v="1"/>
    <n v="0"/>
    <n v="0"/>
    <s v="No"/>
    <s v="No"/>
    <n v="1"/>
    <n v="0"/>
    <n v="7920"/>
    <n v="0"/>
    <n v="1"/>
    <s v="Water Filter Made in China"/>
    <n v="1"/>
    <n v="644"/>
    <n v="1"/>
    <n v="644"/>
    <n v="1"/>
    <n v="644"/>
    <x v="0"/>
    <n v="0"/>
    <n v="0"/>
    <n v="0.6100000000000001"/>
    <n v="0"/>
    <n v="0"/>
    <n v="1"/>
    <n v="644"/>
    <m/>
    <n v="0"/>
    <n v="0"/>
    <n v="0"/>
    <n v="16"/>
    <x v="1"/>
    <x v="0"/>
    <n v="0.49689440993788819"/>
    <n v="320"/>
    <n v="0"/>
    <n v="0"/>
    <n v="0.49689440993788819"/>
    <n v="320"/>
    <n v="0"/>
    <n v="0.83"/>
    <n v="534.52"/>
    <n v="16.200000000000003"/>
    <n v="4"/>
    <s v="Separate, clearly perceived"/>
    <n v="0.6211180124223602"/>
    <n v="399.99999999999994"/>
    <n v="6.49"/>
    <n v="0.76"/>
    <n v="489.44"/>
    <n v="2"/>
    <n v="0.3105590062111801"/>
    <n v="8.49"/>
    <n v="0.31"/>
    <m/>
    <m/>
    <m/>
    <m/>
    <s v="To be realised"/>
    <n v="0"/>
    <n v="13"/>
    <n v="0"/>
    <n v="1"/>
    <n v="644"/>
    <s v="Column BN to be completed"/>
    <m/>
    <n v="0"/>
    <n v="0"/>
    <n v="2"/>
    <s v="Excellent coverage"/>
    <n v="0"/>
    <x v="0"/>
    <m/>
  </r>
  <r>
    <x v="18"/>
    <s v="MMR001CMP208"/>
    <x v="8"/>
    <x v="162"/>
    <n v="97.541793999999996"/>
    <n v="24.752471"/>
    <x v="2"/>
    <x v="1"/>
    <x v="2"/>
    <x v="2"/>
    <m/>
    <m/>
    <n v="391"/>
    <n v="391"/>
    <x v="1"/>
    <s v="WHH"/>
    <s v="IRRC"/>
    <x v="2"/>
    <x v="1"/>
    <s v="Gap"/>
    <s v="Not documented"/>
    <x v="1"/>
    <n v="0"/>
    <n v="0"/>
    <s v="No"/>
    <s v="No"/>
    <n v="0"/>
    <n v="0"/>
    <n v="6000"/>
    <n v="0"/>
    <n v="1"/>
    <s v="Water Filter Made in China"/>
    <n v="1"/>
    <n v="391"/>
    <n v="1"/>
    <n v="391"/>
    <n v="1"/>
    <n v="391"/>
    <x v="0"/>
    <n v="0"/>
    <n v="0"/>
    <n v="0.97750000000000004"/>
    <n v="0"/>
    <n v="0"/>
    <n v="1"/>
    <n v="391"/>
    <m/>
    <n v="29"/>
    <n v="0"/>
    <n v="0"/>
    <n v="16"/>
    <x v="1"/>
    <x v="3"/>
    <n v="0.81841432225063937"/>
    <n v="320"/>
    <n v="0"/>
    <n v="0"/>
    <n v="0.81841432225063937"/>
    <n v="320"/>
    <n v="0"/>
    <n v="1"/>
    <n v="391"/>
    <n v="3.5500000000000007"/>
    <n v="4"/>
    <s v="Separate, clearly perceived"/>
    <n v="1"/>
    <n v="391"/>
    <n v="0"/>
    <n v="1"/>
    <n v="391"/>
    <n v="2"/>
    <n v="0.51150895140664965"/>
    <n v="0"/>
    <n v="0.51"/>
    <m/>
    <m/>
    <m/>
    <m/>
    <s v="To be realised"/>
    <n v="0"/>
    <n v="13"/>
    <n v="0"/>
    <n v="1"/>
    <n v="391"/>
    <s v="Column BN to be completed"/>
    <s v="Metta will cover refill HK distribution in this camp until Feb, 2016"/>
    <n v="0"/>
    <n v="0"/>
    <n v="2"/>
    <s v="Excellent coverage"/>
    <n v="0"/>
    <x v="0"/>
    <m/>
  </r>
  <r>
    <x v="18"/>
    <s v="MMR001CMP028"/>
    <x v="9"/>
    <x v="163"/>
    <n v="97.408302000000006"/>
    <n v="25.324567999999999"/>
    <x v="0"/>
    <x v="0"/>
    <x v="1"/>
    <x v="0"/>
    <n v="110"/>
    <n v="591"/>
    <n v="369"/>
    <n v="507"/>
    <x v="0"/>
    <s v="AusAid"/>
    <s v="Shalom"/>
    <x v="2"/>
    <x v="1"/>
    <s v="Gap"/>
    <s v="Not documented"/>
    <x v="1"/>
    <n v="0"/>
    <n v="0"/>
    <s v="Yes"/>
    <s v="No"/>
    <n v="3"/>
    <n v="1"/>
    <n v="3600"/>
    <n v="0"/>
    <n v="0"/>
    <m/>
    <n v="1"/>
    <n v="507"/>
    <n v="1"/>
    <n v="507"/>
    <n v="1"/>
    <n v="507"/>
    <x v="0"/>
    <n v="0"/>
    <n v="0"/>
    <n v="0"/>
    <n v="0"/>
    <n v="0"/>
    <n v="1"/>
    <n v="507"/>
    <m/>
    <n v="80"/>
    <n v="2"/>
    <m/>
    <n v="24"/>
    <x v="3"/>
    <x v="0"/>
    <n v="1"/>
    <n v="507"/>
    <n v="5.3254437869822535E-2"/>
    <n v="27.000000000000025"/>
    <n v="0.94674556213017746"/>
    <n v="480"/>
    <n v="0"/>
    <n v="1"/>
    <n v="507"/>
    <n v="1.3500000000000014"/>
    <n v="4"/>
    <s v="Separate, clearly perceived"/>
    <n v="0.78895463510848129"/>
    <n v="400"/>
    <n v="1.9100000000000001"/>
    <n v="0.79"/>
    <n v="400.53000000000003"/>
    <n v="7"/>
    <n v="1"/>
    <n v="0"/>
    <n v="1"/>
    <m/>
    <d v="2015-02-13T00:00:00"/>
    <s v="Blanket Consumable only"/>
    <m/>
    <s v="To be realised"/>
    <n v="110"/>
    <n v="7"/>
    <n v="110"/>
    <n v="0"/>
    <n v="0"/>
    <n v="5"/>
    <s v="Metta will cover refill HK distribution in this camp until Feb, 2016"/>
    <n v="0"/>
    <n v="0"/>
    <n v="2"/>
    <s v="Excellent coverage"/>
    <n v="0"/>
    <x v="0"/>
    <m/>
  </r>
  <r>
    <x v="18"/>
    <s v="MMR001CMP115"/>
    <x v="8"/>
    <x v="164"/>
    <n v="97.807182999999995"/>
    <n v="25.200333000000001"/>
    <x v="0"/>
    <x v="1"/>
    <x v="2"/>
    <x v="0"/>
    <n v="169"/>
    <n v="1216"/>
    <n v="1212"/>
    <n v="1212"/>
    <x v="0"/>
    <s v="CIDA"/>
    <s v="KBC"/>
    <x v="2"/>
    <x v="1"/>
    <s v="Gap"/>
    <s v="Not documented"/>
    <x v="1"/>
    <n v="0"/>
    <n v="0"/>
    <s v="Yes"/>
    <s v="No"/>
    <n v="0"/>
    <n v="0"/>
    <n v="30000"/>
    <n v="0"/>
    <n v="0"/>
    <m/>
    <n v="1"/>
    <n v="1212"/>
    <n v="1"/>
    <n v="1212"/>
    <n v="1"/>
    <n v="1212"/>
    <x v="0"/>
    <n v="0"/>
    <n v="0"/>
    <n v="3.03"/>
    <n v="0"/>
    <n v="0"/>
    <n v="1"/>
    <n v="1212"/>
    <m/>
    <n v="4"/>
    <n v="70"/>
    <n v="70"/>
    <n v="0"/>
    <x v="2"/>
    <x v="0"/>
    <n v="1"/>
    <n v="1212"/>
    <n v="1"/>
    <n v="1212"/>
    <n v="0"/>
    <n v="0"/>
    <n v="0"/>
    <n v="1"/>
    <n v="1212"/>
    <n v="60.6"/>
    <n v="3"/>
    <s v="Separate, clearly perceived"/>
    <n v="0.24752475247524752"/>
    <n v="300"/>
    <n v="9.16"/>
    <n v="0.25"/>
    <n v="303"/>
    <n v="0"/>
    <n v="0"/>
    <n v="12.16"/>
    <n v="0"/>
    <s v="Semi-permanent latrines not possible due to rocky land and logisitc issue. 50 latrines have been maintained as pan &amp; pipe contribution and structural mainteance by KBC in Sep 15. All 24 hand washing spaces had also out of used."/>
    <d v="2015-06-18T00:00:00"/>
    <s v="Blanket Consumable only"/>
    <m/>
    <d v="2016-06-17T00:00:00"/>
    <n v="170"/>
    <n v="0"/>
    <n v="0"/>
    <n v="1"/>
    <n v="1212"/>
    <n v="8"/>
    <m/>
    <n v="0"/>
    <n v="0"/>
    <n v="2"/>
    <s v="Good coverage"/>
    <n v="0"/>
    <x v="0"/>
    <m/>
  </r>
  <r>
    <x v="18"/>
    <s v="MMR001CMP027"/>
    <x v="9"/>
    <x v="165"/>
    <n v="97.451965000000001"/>
    <n v="25.356632000000001"/>
    <x v="0"/>
    <x v="0"/>
    <x v="1"/>
    <x v="0"/>
    <n v="21"/>
    <n v="111"/>
    <n v="115"/>
    <n v="115"/>
    <x v="1"/>
    <s v="CIDA"/>
    <s v="Shalom"/>
    <x v="2"/>
    <x v="1"/>
    <s v="Gap"/>
    <s v="Not documented"/>
    <x v="1"/>
    <n v="0"/>
    <n v="0"/>
    <s v="No"/>
    <s v="No"/>
    <n v="1"/>
    <n v="0"/>
    <n v="2000"/>
    <n v="0"/>
    <n v="1"/>
    <s v="Ceramic Water filter"/>
    <n v="1"/>
    <n v="115"/>
    <n v="1"/>
    <n v="115"/>
    <n v="1"/>
    <n v="115"/>
    <x v="0"/>
    <n v="0"/>
    <n v="0"/>
    <n v="0"/>
    <n v="21"/>
    <n v="0"/>
    <n v="1"/>
    <n v="115"/>
    <m/>
    <n v="8"/>
    <n v="0"/>
    <m/>
    <n v="6"/>
    <x v="2"/>
    <x v="0"/>
    <n v="1"/>
    <n v="115"/>
    <n v="0"/>
    <n v="0"/>
    <n v="1"/>
    <n v="115"/>
    <n v="0"/>
    <n v="1"/>
    <n v="115"/>
    <n v="0"/>
    <n v="2"/>
    <s v="Not separated yet"/>
    <n v="1"/>
    <n v="115"/>
    <n v="0"/>
    <n v="1"/>
    <n v="115"/>
    <n v="0"/>
    <n v="0"/>
    <n v="1.1100000000000001"/>
    <n v="0"/>
    <s v="old 3 Hand washing were already out of used"/>
    <d v="2015-06-18T00:00:00"/>
    <s v="Blanket Consumable only"/>
    <m/>
    <d v="2016-06-17T00:00:00"/>
    <n v="21"/>
    <n v="0"/>
    <n v="0"/>
    <n v="1"/>
    <n v="115"/>
    <n v="8"/>
    <m/>
    <n v="0"/>
    <n v="0"/>
    <n v="2"/>
    <s v="Excellent coverage"/>
    <n v="0"/>
    <x v="0"/>
    <m/>
  </r>
  <r>
    <x v="18"/>
    <s v="MMR001CMP119"/>
    <x v="8"/>
    <x v="166"/>
    <n v="97.715230000000005"/>
    <n v="24.980250000000002"/>
    <x v="0"/>
    <x v="1"/>
    <x v="2"/>
    <x v="0"/>
    <n v="609"/>
    <n v="2627"/>
    <n v="2619"/>
    <n v="2619"/>
    <x v="2"/>
    <s v="CIDA"/>
    <s v="IRRC"/>
    <x v="2"/>
    <x v="1"/>
    <s v="Gap"/>
    <s v="Not documented"/>
    <x v="1"/>
    <n v="0"/>
    <n v="0"/>
    <s v="Yes"/>
    <s v="No"/>
    <n v="0"/>
    <n v="0"/>
    <n v="45000"/>
    <n v="0"/>
    <n v="0"/>
    <m/>
    <n v="1"/>
    <n v="2619"/>
    <n v="1"/>
    <n v="2619"/>
    <n v="1"/>
    <n v="2619"/>
    <x v="0"/>
    <n v="0"/>
    <n v="0"/>
    <n v="6.5475000000000003"/>
    <n v="0"/>
    <n v="0"/>
    <n v="1"/>
    <n v="2619"/>
    <m/>
    <n v="7"/>
    <n v="229"/>
    <n v="229"/>
    <n v="0"/>
    <x v="2"/>
    <x v="0"/>
    <n v="1"/>
    <n v="2619"/>
    <n v="1"/>
    <n v="2619"/>
    <n v="0"/>
    <n v="0"/>
    <n v="0"/>
    <n v="1"/>
    <n v="2619"/>
    <n v="130.94999999999999"/>
    <n v="26"/>
    <s v="Separate, clearly perceived"/>
    <n v="0.99274532264222981"/>
    <n v="2600"/>
    <n v="0.26999999999999957"/>
    <n v="0.99"/>
    <n v="2592.81"/>
    <n v="0"/>
    <n v="0"/>
    <n v="26.27"/>
    <n v="0"/>
    <s v="Semi-permanent latrines not possible due to rocky land and logisitc issue. 300 latrines have been maintained as pan &amp; pipe contribution and structural mainteance by KBC in Sep 15. All 51 hand washing spaces had also out of used. "/>
    <d v="2015-02-18T00:00:00"/>
    <s v="Blanket Full HK + consumable refilling"/>
    <m/>
    <s v="To be realised"/>
    <n v="645"/>
    <n v="4"/>
    <n v="609"/>
    <n v="0"/>
    <n v="0"/>
    <n v="8"/>
    <m/>
    <n v="0"/>
    <n v="0"/>
    <n v="2"/>
    <s v="Low coverage"/>
    <n v="0"/>
    <x v="0"/>
    <m/>
  </r>
  <r>
    <x v="18"/>
    <s v="MMR001CMP031"/>
    <x v="9"/>
    <x v="167"/>
    <n v="97.435233999999994"/>
    <n v="25.425276"/>
    <x v="0"/>
    <x v="0"/>
    <x v="1"/>
    <x v="0"/>
    <n v="135"/>
    <n v="724"/>
    <n v="462"/>
    <n v="738"/>
    <x v="0"/>
    <s v="AusAid"/>
    <s v="Shalom"/>
    <x v="2"/>
    <x v="1"/>
    <s v="Gap"/>
    <s v="Not documented"/>
    <x v="1"/>
    <n v="0"/>
    <n v="0"/>
    <s v="Yes"/>
    <s v="No"/>
    <n v="4"/>
    <n v="1"/>
    <n v="2500"/>
    <n v="0"/>
    <n v="0"/>
    <m/>
    <n v="1"/>
    <n v="738"/>
    <n v="1"/>
    <n v="738"/>
    <n v="1"/>
    <n v="738"/>
    <x v="0"/>
    <n v="0"/>
    <n v="0"/>
    <n v="0"/>
    <n v="0"/>
    <n v="0"/>
    <n v="1"/>
    <n v="738"/>
    <m/>
    <n v="10"/>
    <n v="2"/>
    <m/>
    <n v="28"/>
    <x v="1"/>
    <x v="0"/>
    <n v="0.81300813008130079"/>
    <n v="600"/>
    <n v="5.4200542005420016E-2"/>
    <n v="39.999999999999972"/>
    <n v="0.75880758807588078"/>
    <n v="560"/>
    <n v="0"/>
    <n v="0.81"/>
    <n v="597.78000000000009"/>
    <n v="8.8999999999999986"/>
    <n v="6"/>
    <s v="Separate, clearly perceived"/>
    <n v="0.81300813008130079"/>
    <n v="600"/>
    <n v="1.2400000000000002"/>
    <n v="0.81"/>
    <n v="597.78000000000009"/>
    <n v="5"/>
    <n v="0.6775067750677507"/>
    <n v="2.2400000000000002"/>
    <n v="1"/>
    <m/>
    <d v="2015-02-13T00:00:00"/>
    <s v="Blanket Consumable only"/>
    <m/>
    <s v="To be realised"/>
    <n v="135"/>
    <n v="7"/>
    <n v="135"/>
    <n v="0"/>
    <n v="0"/>
    <n v="5"/>
    <m/>
    <n v="0"/>
    <n v="0"/>
    <n v="2"/>
    <s v="Excellent coverage"/>
    <n v="0"/>
    <x v="0"/>
    <m/>
  </r>
  <r>
    <x v="18"/>
    <s v="MMR001CMP029"/>
    <x v="9"/>
    <x v="168"/>
    <n v="97.438450000000003"/>
    <n v="25.415900000000001"/>
    <x v="0"/>
    <x v="0"/>
    <x v="1"/>
    <x v="0"/>
    <n v="227"/>
    <n v="1212"/>
    <n v="1234"/>
    <n v="1234"/>
    <x v="0"/>
    <s v="DFID"/>
    <s v="KMSS"/>
    <x v="3"/>
    <x v="0"/>
    <d v="2016-12-31T00:00:00"/>
    <s v="Focal NGO"/>
    <x v="0"/>
    <n v="0"/>
    <n v="0"/>
    <s v="Yes"/>
    <s v="No"/>
    <n v="10"/>
    <n v="1"/>
    <n v="15000"/>
    <n v="0"/>
    <n v="1"/>
    <m/>
    <n v="1"/>
    <n v="1234"/>
    <n v="1"/>
    <n v="1234"/>
    <n v="1"/>
    <n v="1234"/>
    <x v="0"/>
    <n v="0"/>
    <n v="0"/>
    <n v="0"/>
    <n v="227"/>
    <n v="0"/>
    <n v="1"/>
    <n v="1234"/>
    <m/>
    <n v="0"/>
    <n v="0"/>
    <m/>
    <n v="16"/>
    <x v="2"/>
    <x v="3"/>
    <n v="0.2593192868719611"/>
    <n v="320"/>
    <n v="0"/>
    <n v="0"/>
    <n v="0.2593192868719611"/>
    <n v="320"/>
    <n v="0"/>
    <n v="1"/>
    <n v="1234"/>
    <n v="45.7"/>
    <n v="4"/>
    <s v="Separate, clearly perceived"/>
    <n v="0.32414910858995138"/>
    <n v="400"/>
    <n v="8.1199999999999992"/>
    <n v="0.32"/>
    <n v="394.88"/>
    <n v="0"/>
    <n v="0"/>
    <n v="12.12"/>
    <n v="0"/>
    <s v="10 latrines have been decommisioned "/>
    <d v="2014-05-22T00:00:00"/>
    <s v="Blanket Consumable only"/>
    <n v="0"/>
    <s v="To be realised"/>
    <n v="238"/>
    <n v="2"/>
    <n v="227"/>
    <n v="0"/>
    <n v="0"/>
    <n v="19"/>
    <m/>
    <n v="1"/>
    <n v="1234"/>
    <n v="2"/>
    <s v="Good coverage"/>
    <n v="0"/>
    <x v="0"/>
    <m/>
  </r>
  <r>
    <x v="18"/>
    <s v="MMR001CMP040"/>
    <x v="9"/>
    <x v="169"/>
    <n v="97.437434999999994"/>
    <n v="25.411413"/>
    <x v="0"/>
    <x v="0"/>
    <x v="1"/>
    <x v="0"/>
    <n v="429"/>
    <n v="2237"/>
    <n v="2071"/>
    <n v="2071"/>
    <x v="3"/>
    <s v="CIDA"/>
    <s v="KBC"/>
    <x v="2"/>
    <x v="1"/>
    <s v="Gap"/>
    <s v="Not documented"/>
    <x v="1"/>
    <n v="0"/>
    <n v="0"/>
    <s v="Yes"/>
    <s v="No"/>
    <n v="8"/>
    <n v="0"/>
    <n v="16800"/>
    <n v="0"/>
    <n v="1"/>
    <s v="Ceramic Water filter"/>
    <n v="1"/>
    <n v="2071"/>
    <n v="1"/>
    <n v="2071"/>
    <n v="1"/>
    <n v="2071"/>
    <x v="0"/>
    <n v="0"/>
    <n v="0"/>
    <n v="0"/>
    <n v="429"/>
    <n v="0"/>
    <n v="1"/>
    <n v="2071"/>
    <m/>
    <n v="0"/>
    <n v="0"/>
    <m/>
    <n v="132"/>
    <x v="0"/>
    <x v="1"/>
    <n v="1"/>
    <n v="2071"/>
    <n v="0"/>
    <n v="0"/>
    <n v="1"/>
    <n v="2071"/>
    <n v="4"/>
    <n v="1"/>
    <n v="2071"/>
    <n v="0"/>
    <n v="6"/>
    <s v="Separate, clearly perceived"/>
    <n v="0.28971511347175277"/>
    <n v="600"/>
    <n v="16.37"/>
    <n v="0.28999999999999998"/>
    <n v="600.58999999999992"/>
    <n v="0"/>
    <n v="0"/>
    <n v="22.37"/>
    <n v="0"/>
    <s v="due to IDPs used individual bathing spaces, no need to construct more. All 45 hand washing space were also out of used."/>
    <d v="2015-02-18T00:00:00"/>
    <s v="Blanket Full HK + consumable refilling"/>
    <m/>
    <s v="To be realised"/>
    <n v="415"/>
    <n v="4"/>
    <n v="429"/>
    <n v="0"/>
    <n v="0"/>
    <n v="8"/>
    <m/>
    <n v="0"/>
    <n v="0"/>
    <n v="5"/>
    <s v="Excellent coverage"/>
    <n v="0"/>
    <x v="2"/>
    <m/>
  </r>
  <r>
    <x v="18"/>
    <s v="MMR001CMP039"/>
    <x v="9"/>
    <x v="170"/>
    <n v="97.426297000000005"/>
    <n v="25.409566000000002"/>
    <x v="0"/>
    <x v="0"/>
    <x v="1"/>
    <x v="0"/>
    <n v="45"/>
    <n v="193"/>
    <n v="173"/>
    <n v="173"/>
    <x v="1"/>
    <s v="CIDA"/>
    <s v="KBC"/>
    <x v="2"/>
    <x v="1"/>
    <s v="Gap"/>
    <s v="Not documented"/>
    <x v="1"/>
    <n v="0"/>
    <n v="0"/>
    <s v="No"/>
    <s v="No"/>
    <n v="2"/>
    <n v="0"/>
    <n v="3000"/>
    <n v="0"/>
    <n v="1"/>
    <s v="Ceramic Water filter"/>
    <n v="1"/>
    <n v="173"/>
    <n v="1"/>
    <n v="173"/>
    <n v="1"/>
    <n v="173"/>
    <x v="0"/>
    <n v="0"/>
    <n v="0"/>
    <n v="0"/>
    <n v="45"/>
    <n v="0"/>
    <n v="1"/>
    <n v="173"/>
    <m/>
    <n v="4"/>
    <n v="0"/>
    <m/>
    <n v="14"/>
    <x v="2"/>
    <x v="1"/>
    <n v="1"/>
    <n v="173"/>
    <n v="0"/>
    <n v="0"/>
    <n v="1"/>
    <n v="173"/>
    <n v="0"/>
    <n v="1"/>
    <n v="173"/>
    <n v="0"/>
    <n v="2"/>
    <s v="Separate, but not clearly perceived"/>
    <n v="1"/>
    <n v="173"/>
    <n v="0"/>
    <n v="1"/>
    <n v="173"/>
    <n v="0"/>
    <n v="0"/>
    <n v="1.93"/>
    <n v="0"/>
    <s v="old 3 Hand washing were already out of used"/>
    <d v="2015-06-18T00:00:00"/>
    <s v="Blanket Consumable only"/>
    <m/>
    <d v="2016-06-17T00:00:00"/>
    <n v="44"/>
    <n v="0"/>
    <n v="1"/>
    <n v="0.97777777777777775"/>
    <n v="169.15555555555554"/>
    <n v="8"/>
    <m/>
    <n v="0"/>
    <n v="0"/>
    <n v="0"/>
    <s v="No coverage"/>
    <n v="0"/>
    <x v="2"/>
    <m/>
  </r>
  <r>
    <x v="18"/>
    <s v="MMR001CMP033"/>
    <x v="9"/>
    <x v="171"/>
    <n v="97.345039"/>
    <n v="25.351965"/>
    <x v="0"/>
    <x v="0"/>
    <x v="2"/>
    <x v="0"/>
    <n v="18"/>
    <n v="77"/>
    <n v="49"/>
    <n v="80"/>
    <x v="1"/>
    <s v="AusAid"/>
    <s v="Shalom"/>
    <x v="2"/>
    <x v="1"/>
    <s v="Gap"/>
    <s v="Not documented"/>
    <x v="1"/>
    <n v="0"/>
    <n v="0"/>
    <s v="Yes"/>
    <s v="No"/>
    <n v="1"/>
    <n v="1"/>
    <n v="0"/>
    <n v="0"/>
    <n v="0"/>
    <m/>
    <n v="1"/>
    <n v="80"/>
    <n v="1"/>
    <n v="80"/>
    <n v="1"/>
    <n v="80"/>
    <x v="0"/>
    <n v="0"/>
    <n v="0"/>
    <n v="0"/>
    <n v="0"/>
    <n v="0"/>
    <n v="1"/>
    <n v="80"/>
    <m/>
    <n v="24"/>
    <n v="2"/>
    <m/>
    <n v="3"/>
    <x v="1"/>
    <x v="0"/>
    <n v="1"/>
    <n v="80"/>
    <n v="0.25"/>
    <n v="20"/>
    <n v="0.75"/>
    <n v="60"/>
    <n v="0"/>
    <n v="1"/>
    <n v="80"/>
    <n v="1"/>
    <n v="2"/>
    <s v="Not separated yet"/>
    <n v="1"/>
    <n v="80"/>
    <n v="0"/>
    <n v="1"/>
    <n v="80"/>
    <n v="1"/>
    <n v="1"/>
    <n v="0"/>
    <n v="1"/>
    <m/>
    <d v="2015-02-13T00:00:00"/>
    <s v="Blanket Consumable only"/>
    <m/>
    <s v="To be realised"/>
    <n v="18"/>
    <n v="7"/>
    <n v="18"/>
    <n v="0"/>
    <n v="0"/>
    <n v="5"/>
    <m/>
    <n v="0"/>
    <n v="0"/>
    <n v="1"/>
    <s v="Excellent coverage"/>
    <n v="0"/>
    <x v="0"/>
    <m/>
  </r>
</pivotCacheRecords>
</file>

<file path=xl/pivotCache/pivotCacheRecords3.xml><?xml version="1.0" encoding="utf-8"?>
<pivotCacheRecords xmlns="http://schemas.openxmlformats.org/spreadsheetml/2006/main" xmlns:r="http://schemas.openxmlformats.org/officeDocument/2006/relationships" count="186">
  <r>
    <x v="0"/>
    <s v="MMR001CMP050"/>
    <s v="Cluster 4"/>
    <s v="AD-2000 Extension camp"/>
    <n v="97.243579999999994"/>
    <n v="24.260120000000001"/>
    <s v="Camp"/>
    <s v="GCA"/>
    <s v="Urban"/>
    <s v="IDP in camps"/>
    <n v="71"/>
    <n v="383"/>
    <n v="434"/>
    <n v="383"/>
    <s v="2. Medium"/>
    <s v="ECHO"/>
    <s v="KMSS"/>
    <x v="0"/>
    <s v="Covered"/>
    <x v="0"/>
  </r>
  <r>
    <x v="0"/>
    <s v="MMR001CMP050"/>
    <s v="Cluster 4"/>
    <s v="AD-2000 Tharthana Compound*"/>
    <n v="97.238829999999993"/>
    <n v="24.260719999999999"/>
    <s v="Camp"/>
    <s v="GCA"/>
    <s v="Urban"/>
    <s v="IDP in camps"/>
    <n v="161"/>
    <n v="784"/>
    <n v="965"/>
    <n v="784"/>
    <s v="2. Medium"/>
    <s v="ECHO"/>
    <s v="KMSS"/>
    <x v="0"/>
    <s v="Covered"/>
    <x v="0"/>
  </r>
  <r>
    <x v="0"/>
    <s v="MMR001CMP194"/>
    <s v="Cluster 4"/>
    <s v="Aung Thar Church"/>
    <n v="97.252650000000003"/>
    <n v="24.260466999999998"/>
    <s v="Camp"/>
    <s v="GCA"/>
    <s v="Urban"/>
    <s v="IDP in camps"/>
    <n v="13"/>
    <n v="59"/>
    <n v="58"/>
    <n v="58"/>
    <s v="1. Small"/>
    <s v="HIDA, WHH,USAID,UNICEF"/>
    <s v="KBC"/>
    <x v="1"/>
    <s v="Covered"/>
    <x v="0"/>
  </r>
  <r>
    <x v="0"/>
    <s v="MMR001CMP163"/>
    <s v="Cluster 4"/>
    <s v="Bhamo Host Families"/>
    <n v="97.228769999999997"/>
    <n v="24.26502"/>
    <s v="Village"/>
    <s v="GCA"/>
    <s v="Urban"/>
    <s v="IDP in Host Villages"/>
    <n v="211"/>
    <n v="989"/>
    <n v="965"/>
    <n v="965"/>
    <s v="2. Medium"/>
    <m/>
    <m/>
    <x v="2"/>
    <s v="Not covered"/>
    <x v="1"/>
  </r>
  <r>
    <x v="0"/>
    <s v="MMR001CMP052"/>
    <s v="Cluster 4"/>
    <s v="Htoi San Church*"/>
    <n v="97.236919999999998"/>
    <n v="24.24766"/>
    <s v="Camp"/>
    <s v="GCA"/>
    <s v="Urban"/>
    <s v="IDP in camps"/>
    <n v="44"/>
    <n v="235"/>
    <n v="241"/>
    <n v="241"/>
    <s v="1. Small"/>
    <s v="HIDA, WHH,USAID,UNICEF"/>
    <s v="KBC"/>
    <x v="1"/>
    <s v="Covered"/>
    <x v="0"/>
  </r>
  <r>
    <x v="0"/>
    <s v="MMR001CMP049"/>
    <s v="Cluster 4"/>
    <s v="Lisu Boarding-House"/>
    <n v="97.241630000000001"/>
    <n v="24.266110000000001"/>
    <s v="Camp"/>
    <s v="GCA"/>
    <s v="Urban"/>
    <s v="IDP in camps"/>
    <n v="116"/>
    <n v="659"/>
    <n v="625"/>
    <n v="625"/>
    <s v="2. Medium"/>
    <s v="HIDA, WHH,USAID,UNICEF"/>
    <s v="Shalom"/>
    <x v="1"/>
    <s v="Covered"/>
    <x v="0"/>
  </r>
  <r>
    <x v="0"/>
    <s v="MMR001CMP051"/>
    <s v="Cluster 4"/>
    <s v="Mu-yin Baptist Church"/>
    <n v="97.234200000000001"/>
    <n v="24.253067000000001"/>
    <s v="Camp"/>
    <s v="GCA"/>
    <s v="Urban"/>
    <s v="IDP in camps"/>
    <n v="23"/>
    <n v="86"/>
    <n v="90"/>
    <n v="90"/>
    <s v="1. Small"/>
    <s v="HIDA, WHH,USAID,UNICEF"/>
    <s v="Shalom"/>
    <x v="1"/>
    <s v="Covered"/>
    <x v="0"/>
  </r>
  <r>
    <x v="0"/>
    <s v="MMR001CMP054"/>
    <s v="Cluster 4"/>
    <s v="Nant Hlaing Church"/>
    <n v="97.315860000000001"/>
    <n v="24.32638"/>
    <s v="Camp"/>
    <s v="GCA"/>
    <s v="Sub-urban"/>
    <s v="IDP in camps"/>
    <n v="23"/>
    <n v="124"/>
    <n v="125"/>
    <n v="125"/>
    <s v="1. Small"/>
    <s v="HIDA, WHH,USAID,UNICEF"/>
    <s v="KMSS"/>
    <x v="1"/>
    <s v="Covered"/>
    <x v="0"/>
  </r>
  <r>
    <x v="0"/>
    <s v="MMR001CMP193"/>
    <s v="Cluster 4"/>
    <s v="Phan Khar Kone*"/>
    <n v="97.252650000000003"/>
    <n v="24.222349999999999"/>
    <s v="Camp"/>
    <s v="GCA"/>
    <s v="Urban"/>
    <s v="IDP in camps"/>
    <n v="149"/>
    <n v="745"/>
    <n v="749"/>
    <n v="745"/>
    <s v="2. Medium"/>
    <s v="ECHO"/>
    <s v="KBC"/>
    <x v="0"/>
    <s v="Covered"/>
    <x v="0"/>
  </r>
  <r>
    <x v="0"/>
    <s v="MMR001CMP047"/>
    <s v="Cluster 4"/>
    <s v="Robert Church*"/>
    <n v="97.228769999999997"/>
    <n v="24.26502"/>
    <s v="Camp"/>
    <s v="GCA"/>
    <s v="Urban"/>
    <s v="IDP in camps"/>
    <n v="618"/>
    <n v="3755"/>
    <n v="3781"/>
    <n v="3755"/>
    <s v="4. Big"/>
    <s v="ECHO"/>
    <s v="KBC"/>
    <x v="0"/>
    <s v="Covered"/>
    <x v="0"/>
  </r>
  <r>
    <x v="0"/>
    <s v="MMR001CMP055"/>
    <s v="Cluster 4"/>
    <s v="Ta Gun Taing Monastery (Shwe Kyi Na)"/>
    <n v="97.227789999999999"/>
    <n v="24.29138"/>
    <s v="Camp"/>
    <s v="GCA"/>
    <s v="Urban"/>
    <s v="IDP in camps"/>
    <n v="25"/>
    <n v="111"/>
    <n v="111"/>
    <n v="111"/>
    <s v="1. Small"/>
    <s v="ECHO"/>
    <s v="Shalom"/>
    <x v="0"/>
    <s v="Covered"/>
    <x v="0"/>
  </r>
  <r>
    <x v="0"/>
    <s v="MMR001CMP053"/>
    <s v="Cluster 4"/>
    <s v="Yoe Kyi Monastery"/>
    <n v="97.246889999999993"/>
    <n v="24.244129999999998"/>
    <s v="Camp"/>
    <s v="GCA"/>
    <s v="Urban"/>
    <s v="IDP in camps"/>
    <n v="15"/>
    <n v="64"/>
    <n v="75"/>
    <n v="75"/>
    <s v="1. Small"/>
    <s v="HIDA, WHH,USAID,UNICEF"/>
    <s v="Shalom"/>
    <x v="1"/>
    <s v="Covered"/>
    <x v="0"/>
  </r>
  <r>
    <x v="1"/>
    <m/>
    <s v="Cluster 10"/>
    <s v="Chipwi (School coumpound)"/>
    <n v="98.134313888888897"/>
    <n v="25.8873472222222"/>
    <s v="School"/>
    <s v="GCA"/>
    <s v="Urban"/>
    <s v="Student in surrounding villages school"/>
    <m/>
    <n v="45"/>
    <n v="45"/>
    <n v="45"/>
    <s v="1. Small"/>
    <m/>
    <s v="KMSS"/>
    <x v="2"/>
    <s v="Not covered"/>
    <x v="1"/>
  </r>
  <r>
    <x v="1"/>
    <s v="MMR001CMP042"/>
    <s v="Cluster 10"/>
    <s v="Chipwi KBC camp"/>
    <n v="98.131264999999999"/>
    <n v="25.885922999999998"/>
    <s v="Camp"/>
    <s v="GCA"/>
    <s v="Urban"/>
    <s v="IDP in camps"/>
    <n v="105"/>
    <n v="323"/>
    <n v="459"/>
    <n v="552"/>
    <s v="2. Medium"/>
    <s v="AusAid"/>
    <s v="Shalom"/>
    <x v="2"/>
    <s v="Not covered"/>
    <x v="1"/>
  </r>
  <r>
    <x v="1"/>
    <s v="MMR001CMP043"/>
    <s v="Cluster 10"/>
    <s v="Hpare Hkyer - BP6"/>
    <n v="98.475719999999995"/>
    <n v="25.754110000000001"/>
    <s v="Camp"/>
    <s v="NGCA"/>
    <s v="Rural"/>
    <s v="IDP in camps"/>
    <n v="153"/>
    <n v="873"/>
    <n v="820"/>
    <n v="820"/>
    <s v="2. Medium"/>
    <s v="CIDA"/>
    <s v="KBC"/>
    <x v="2"/>
    <s v="Not covered"/>
    <x v="1"/>
  </r>
  <r>
    <x v="1"/>
    <s v="MMR001CMP195"/>
    <s v="Cluster 10"/>
    <s v="Lhaovao Baptist Church (LBC)"/>
    <m/>
    <m/>
    <s v="Camp"/>
    <s v="GCA"/>
    <s v="Urban"/>
    <s v="IDP in camps"/>
    <n v="147"/>
    <n v="605"/>
    <n v="426"/>
    <n v="649"/>
    <s v="2. Medium"/>
    <s v="AusAid"/>
    <s v="Shalom"/>
    <x v="2"/>
    <s v="Not covered"/>
    <x v="1"/>
  </r>
  <r>
    <x v="1"/>
    <s v="MMR001CMP210"/>
    <s v="Cluster 10"/>
    <s v="Pan Wa"/>
    <n v="98.376824999999997"/>
    <n v="25.598251999999999"/>
    <s v="Camp"/>
    <s v="GCA"/>
    <s v="Sub-urban"/>
    <s v="IDP in camps"/>
    <n v="63"/>
    <n v="307"/>
    <n v="323"/>
    <n v="323"/>
    <s v="2. Medium"/>
    <s v="DFID"/>
    <s v="KMSS"/>
    <x v="3"/>
    <s v="Covered"/>
    <x v="2"/>
  </r>
  <r>
    <x v="1"/>
    <s v="MMR001CMP225"/>
    <s v="Cluster 10"/>
    <s v="Pan Wa (Saw Zam) camp "/>
    <n v="98.356405555555497"/>
    <n v="25.645869444444401"/>
    <s v="Camp"/>
    <s v="GCA"/>
    <s v="Sub-urban"/>
    <s v="IDP in camps"/>
    <n v="30"/>
    <n v="181"/>
    <n v="165"/>
    <n v="165"/>
    <s v="1. Small"/>
    <s v="DFID"/>
    <s v="KMSS"/>
    <x v="3"/>
    <s v="Covered"/>
    <x v="2"/>
  </r>
  <r>
    <x v="2"/>
    <s v="MMR001CMP179"/>
    <s v="Cluster 1"/>
    <s v="5 Ward Baptist Church(lon Khin)"/>
    <n v="96.355270000000004"/>
    <n v="25.656130000000001"/>
    <s v="Camp"/>
    <s v="GCA"/>
    <s v="Sub-urban"/>
    <s v="IDP in camps"/>
    <n v="77"/>
    <n v="357"/>
    <n v="350"/>
    <n v="380"/>
    <s v="2. Medium"/>
    <s v="UNICEF"/>
    <s v="Shalom"/>
    <x v="4"/>
    <s v="Covered"/>
    <x v="3"/>
  </r>
  <r>
    <x v="2"/>
    <s v="MMR001CMP168"/>
    <s v="Cluster 1"/>
    <s v="5 Ward RC Church(lon Khin)"/>
    <n v="96.353070000000002"/>
    <n v="25.655819999999999"/>
    <s v="Camp"/>
    <s v="GCA"/>
    <s v="Sub-urban"/>
    <s v="IDP in camps"/>
    <n v="75"/>
    <n v="404"/>
    <n v="425"/>
    <n v="425"/>
    <s v="2. Medium"/>
    <s v="DFID"/>
    <s v="KMSS"/>
    <x v="3"/>
    <s v="Covered"/>
    <x v="2"/>
  </r>
  <r>
    <x v="2"/>
    <s v="MMR001CMP176"/>
    <s v="Cluster 1"/>
    <s v="AG Church, Hmaw Si Sa"/>
    <n v="96.345569999999995"/>
    <n v="25.635300000000001"/>
    <s v="Camp"/>
    <s v="GCA"/>
    <s v="Sub-urban"/>
    <s v="IDP in camps"/>
    <n v="67"/>
    <n v="338"/>
    <n v="351"/>
    <n v="351"/>
    <s v="2. Medium"/>
    <s v="UNICEF"/>
    <s v="Shalom"/>
    <x v="4"/>
    <s v="Covered"/>
    <x v="3"/>
  </r>
  <r>
    <x v="2"/>
    <s v="MMR001CMP190"/>
    <s v="Cluster 1"/>
    <s v="AG Church, Maw Wan"/>
    <n v="96.317350000000005"/>
    <n v="25.616509000000001"/>
    <s v="Camp"/>
    <s v="GCA"/>
    <s v="Urban"/>
    <s v="IDP in camps"/>
    <n v="15"/>
    <n v="82"/>
    <n v="83"/>
    <n v="83"/>
    <s v="1. Small"/>
    <s v="UNICEF"/>
    <s v="Shalom"/>
    <x v="4"/>
    <s v="Covered"/>
    <x v="3"/>
  </r>
  <r>
    <x v="2"/>
    <s v="MMR001CMP169"/>
    <s v="Cluster 1"/>
    <s v="Baptist Church, Hmaw Si Sar(Lon Khin)"/>
    <n v="96.346469999999997"/>
    <n v="25.647649999999999"/>
    <s v="Camp"/>
    <s v="GCA"/>
    <s v="Sub-urban"/>
    <s v="IDP in camps"/>
    <n v="38"/>
    <n v="211"/>
    <n v="213"/>
    <n v="218"/>
    <s v="1. Small"/>
    <s v="UNICEF"/>
    <s v="Shalom"/>
    <x v="4"/>
    <s v="Covered"/>
    <x v="3"/>
  </r>
  <r>
    <x v="2"/>
    <s v="MMR001CMP188"/>
    <s v="Cluster 1"/>
    <s v="Baptist Church, Naung Hmee VT"/>
    <n v="96.673805000000002"/>
    <n v="25.728653000000001"/>
    <s v="Camp"/>
    <s v="GCA"/>
    <s v="Rural"/>
    <s v="IDP in Village type relocation"/>
    <n v="15"/>
    <n v="78"/>
    <n v="77"/>
    <n v="77"/>
    <s v="1. Small"/>
    <m/>
    <s v="Shalom"/>
    <x v="2"/>
    <s v="Not covered"/>
    <x v="1"/>
  </r>
  <r>
    <x v="2"/>
    <s v="MMR001CMP109"/>
    <s v="Cluster 1"/>
    <s v="Chin Church, Seik Mu"/>
    <n v="96.283377000000002"/>
    <n v="25.582065"/>
    <s v="Camp"/>
    <s v="GCA"/>
    <s v="Sub-urban"/>
    <s v="IDP in camps"/>
    <n v="5"/>
    <n v="26"/>
    <n v="27"/>
    <n v="30"/>
    <s v="1. Small"/>
    <s v="UNICEF"/>
    <s v="Shalom"/>
    <x v="4"/>
    <s v="Covered"/>
    <x v="3"/>
  </r>
  <r>
    <x v="2"/>
    <s v="MMR001CMP174"/>
    <s v="Cluster 1"/>
    <s v="Dhama Rakhita, Nyein Chan Tar Yar Ward(Lon Khin)"/>
    <n v="96.354929999999996"/>
    <n v="25.643090000000001"/>
    <s v="Camp"/>
    <s v="GCA"/>
    <s v="Sub-urban"/>
    <s v="IDP in camps"/>
    <n v="65"/>
    <n v="329"/>
    <n v="352"/>
    <n v="352"/>
    <s v="2. Medium"/>
    <s v="UNICEF"/>
    <s v="Shalom"/>
    <x v="4"/>
    <s v="Covered"/>
    <x v="3"/>
  </r>
  <r>
    <x v="2"/>
    <s v="MMR001CMP148"/>
    <s v="Cluster 1"/>
    <s v="Hlaing Naung Baptist"/>
    <n v="96.705960000000005"/>
    <n v="25.51352"/>
    <s v="Camp"/>
    <s v="GCA"/>
    <s v="Rural"/>
    <s v="IDP in camps"/>
    <n v="20"/>
    <n v="64"/>
    <n v="64"/>
    <n v="64"/>
    <s v="1. Small"/>
    <s v="CIDA"/>
    <s v="KBC"/>
    <x v="2"/>
    <s v="Not covered"/>
    <x v="1"/>
  </r>
  <r>
    <x v="2"/>
    <s v="MMR001CMP191"/>
    <s v="Cluster 1"/>
    <s v="Hmaw Wan, Anglican"/>
    <n v="96.316564"/>
    <n v="25.615960999999999"/>
    <s v="Camp"/>
    <s v="GCA"/>
    <s v="Urban"/>
    <s v="IDP in camps"/>
    <n v="10"/>
    <n v="57"/>
    <n v="30"/>
    <n v="46"/>
    <s v="1. Small"/>
    <s v="UNICEF"/>
    <s v="Shalom"/>
    <x v="4"/>
    <s v="Covered"/>
    <x v="3"/>
  </r>
  <r>
    <x v="2"/>
    <s v="MMR001CMP229"/>
    <s v="Cluster 1"/>
    <s v="Hpakant Baptist Church, Nam Ma Hpit"/>
    <n v="96.312790000000007"/>
    <n v="25.611160000000002"/>
    <s v="Camp"/>
    <s v="GCA"/>
    <s v="Rural"/>
    <s v="IDP in camps"/>
    <n v="66"/>
    <n v="309"/>
    <n v="427"/>
    <n v="462"/>
    <s v="2. Medium"/>
    <s v="UNICEF"/>
    <s v="Shalom"/>
    <x v="4"/>
    <s v="Covered"/>
    <x v="3"/>
  </r>
  <r>
    <x v="2"/>
    <s v="MMR001CMP231"/>
    <s v="Cluster 1"/>
    <s v="Ku Day Maw KBC"/>
    <n v="96.341520000000003"/>
    <n v="25.655280000000001"/>
    <s v="Camp"/>
    <s v="GCA"/>
    <s v="Rural"/>
    <s v="IDP in camps"/>
    <n v="25"/>
    <n v="129"/>
    <n v="203"/>
    <n v="233"/>
    <s v="1. Small"/>
    <s v="UNICEF"/>
    <m/>
    <x v="4"/>
    <s v="Covered"/>
    <x v="3"/>
  </r>
  <r>
    <x v="2"/>
    <s v="MMR001CMP181"/>
    <s v="Cluster 1"/>
    <s v="Lisu Baptist Church, Maw Shan Vil,. Seik Mu"/>
    <n v="96.269199999999998"/>
    <n v="25.566510000000001"/>
    <s v="Camp"/>
    <s v="GCA"/>
    <s v="Sub-urban"/>
    <s v="IDP in camps"/>
    <n v="25"/>
    <n v="137"/>
    <n v="95"/>
    <n v="117"/>
    <s v="1. Small"/>
    <s v="UNICEF"/>
    <s v="Shalom"/>
    <x v="4"/>
    <s v="Covered"/>
    <x v="3"/>
  </r>
  <r>
    <x v="2"/>
    <s v="MMR001CMP167"/>
    <s v="Cluster 1"/>
    <s v="Lisu Baptist Church, Maw Wan Ward"/>
    <n v="96.316400000000002"/>
    <n v="25.61842"/>
    <s v="Camp"/>
    <s v="GCA"/>
    <s v="Urban"/>
    <s v="IDP in camps"/>
    <n v="15"/>
    <n v="72"/>
    <n v="51"/>
    <n v="69"/>
    <s v="1. Small"/>
    <s v="UNICEF"/>
    <s v="Shalom"/>
    <x v="4"/>
    <s v="Covered"/>
    <x v="3"/>
  </r>
  <r>
    <x v="2"/>
    <s v="MMR001CMP091"/>
    <s v="Cluster 1"/>
    <s v="Maw Wan, Mu-yin Baptist Church"/>
    <n v="96.319687999999999"/>
    <n v="25.615202"/>
    <s v="Camp"/>
    <s v="GCA"/>
    <s v="Urban"/>
    <s v="IDP in camps"/>
    <n v="5"/>
    <n v="23"/>
    <n v="27"/>
    <n v="27"/>
    <s v="1. Small"/>
    <s v="UNICEF"/>
    <s v="Shalom"/>
    <x v="4"/>
    <s v="Covered"/>
    <x v="3"/>
  </r>
  <r>
    <x v="2"/>
    <s v="MMR001CMP192"/>
    <s v="Cluster 1"/>
    <s v="Nam Ma Phyit, COC"/>
    <n v="96.339590000000001"/>
    <n v="25.617998"/>
    <s v="Camp"/>
    <s v="GCA"/>
    <s v="Rural"/>
    <s v="IDP in camps"/>
    <n v="17"/>
    <n v="64"/>
    <n v="45"/>
    <n v="45"/>
    <s v="1. Small"/>
    <s v="UNICEF"/>
    <s v="Shalom"/>
    <x v="4"/>
    <s v="Covered"/>
    <x v="3"/>
  </r>
  <r>
    <x v="2"/>
    <s v="MMR001CMP103"/>
    <s v="Cluster 1"/>
    <s v="Nant Ma Hpit Catholic Church"/>
    <n v="96.341352999999998"/>
    <n v="25.613894999999999"/>
    <s v="Camp"/>
    <s v="GCA"/>
    <s v="Rural"/>
    <s v="IDP in camps"/>
    <n v="54"/>
    <n v="262"/>
    <n v="272"/>
    <n v="272"/>
    <s v="2. Medium"/>
    <s v="DFID"/>
    <s v="KMSS"/>
    <x v="3"/>
    <s v="Covered"/>
    <x v="2"/>
  </r>
  <r>
    <x v="2"/>
    <s v="MMR001CMP182"/>
    <s v="Cluster 1"/>
    <s v="Rawan Baptist Church, Maw Shan Vil., Seik Mu"/>
    <n v="96.279200000000003"/>
    <n v="25.56551"/>
    <s v="Camp"/>
    <s v="GCA"/>
    <s v="Sub-urban"/>
    <s v="IDP in camps"/>
    <n v="12"/>
    <n v="51"/>
    <n v="25"/>
    <n v="37"/>
    <s v="1. Small"/>
    <s v="UNICEF"/>
    <s v="Shalom"/>
    <x v="4"/>
    <s v="Covered"/>
    <x v="3"/>
  </r>
  <r>
    <x v="2"/>
    <s v="MMR001CMP183"/>
    <s v="Cluster 1"/>
    <s v="Sai Nai Baptish Church, Maw Shan Vil., Seki Mu"/>
    <n v="96.353030000000004"/>
    <n v="25.668399999999998"/>
    <s v="Camp"/>
    <s v="GCA"/>
    <s v="Sub-urban"/>
    <s v="IDP in camps"/>
    <n v="9"/>
    <n v="40"/>
    <n v="25"/>
    <n v="40"/>
    <s v="1. Small"/>
    <s v="UNICEF"/>
    <s v="Shalom"/>
    <x v="4"/>
    <s v="Covered"/>
    <x v="3"/>
  </r>
  <r>
    <x v="2"/>
    <s v="MMR001CMP184"/>
    <s v="Cluster 1"/>
    <s v="Ward 2 Sai Taung Baptist Church, Seik Mu "/>
    <n v="96.286680000000004"/>
    <n v="25.577559999999998"/>
    <s v="Camp"/>
    <s v="GCA"/>
    <s v="Sub-urban"/>
    <s v="IDP in camps"/>
    <n v="38"/>
    <n v="186"/>
    <n v="162"/>
    <n v="190"/>
    <s v="1. Small"/>
    <s v="UNICEF"/>
    <s v="Shalom"/>
    <x v="4"/>
    <s v="Covered"/>
    <x v="3"/>
  </r>
  <r>
    <x v="2"/>
    <s v="MMR001CMP105"/>
    <s v="Cluster 1"/>
    <s v="Yumar Baptist Church"/>
    <n v="96.306910999999999"/>
    <n v="25.599250000000001"/>
    <s v="Camp"/>
    <s v="GCA"/>
    <s v="Sub-urban"/>
    <s v="IDP in camps"/>
    <n v="17"/>
    <n v="65"/>
    <n v="75"/>
    <n v="79"/>
    <s v="1. Small"/>
    <s v="UNICEF"/>
    <s v="Shalom"/>
    <x v="4"/>
    <s v="Covered"/>
    <x v="3"/>
  </r>
  <r>
    <x v="3"/>
    <s v="MMR015CMP218"/>
    <s v="Cluster 8"/>
    <s v="Nam Sa Larp"/>
    <m/>
    <m/>
    <s v="Camp"/>
    <s v="GCA"/>
    <s v="Rural"/>
    <s v="IDP in camps"/>
    <n v="42"/>
    <n v="273"/>
    <n v="217"/>
    <n v="217"/>
    <s v="1. Small"/>
    <s v="HIDA/WHH/UNICEF"/>
    <s v="KBC"/>
    <x v="1"/>
    <s v="Covered"/>
    <x v="0"/>
  </r>
  <r>
    <x v="3"/>
    <s v="MMR015CMP019"/>
    <s v="Cluster 8"/>
    <s v="Narte"/>
    <n v="98.128"/>
    <n v="23.24"/>
    <s v="Camp"/>
    <s v="GCA"/>
    <s v="Rural"/>
    <s v="IDP in camps"/>
    <n v="54"/>
    <n v="392"/>
    <n v="307"/>
    <n v="307"/>
    <s v="2. Medium"/>
    <s v="HIDA/WHH"/>
    <s v="Church"/>
    <x v="1"/>
    <s v="Covered"/>
    <x v="4"/>
  </r>
  <r>
    <x v="4"/>
    <s v="MMR001CMP074"/>
    <s v="Cluster 10"/>
    <s v="La Ja"/>
    <n v="98.144502500000002"/>
    <n v="26.890058"/>
    <s v="Camp"/>
    <s v="GCA"/>
    <s v="Rural"/>
    <s v="IDP in camps"/>
    <n v="11"/>
    <n v="17"/>
    <n v="17"/>
    <n v="17"/>
    <s v="1. Small"/>
    <m/>
    <m/>
    <x v="2"/>
    <s v="Not covered"/>
    <x v="1"/>
  </r>
  <r>
    <x v="5"/>
    <s v="MMR015CMP015"/>
    <s v="Cluster 8"/>
    <s v="Kone Khem Camp"/>
    <n v="97.848529999999997"/>
    <n v="23.4008"/>
    <s v="Camp"/>
    <s v="GCA"/>
    <s v="Rural"/>
    <s v="IDP in Village type relocation"/>
    <n v="86"/>
    <n v="488"/>
    <n v="467"/>
    <n v="467"/>
    <s v="2. Medium"/>
    <s v="HIDA/WHH"/>
    <s v="KBC"/>
    <x v="1"/>
    <s v="Covered"/>
    <x v="4"/>
  </r>
  <r>
    <x v="5"/>
    <m/>
    <s v="Cluster 8"/>
    <s v="Kutkai (host High School)"/>
    <m/>
    <m/>
    <s v="School"/>
    <s v="GCA"/>
    <s v="Urban"/>
    <s v="Student in surrounding villages school"/>
    <m/>
    <m/>
    <n v="1191"/>
    <n v="1191"/>
    <s v="1. Small"/>
    <s v="UNICEF"/>
    <m/>
    <x v="1"/>
    <s v="Covered"/>
    <x v="0"/>
  </r>
  <r>
    <x v="5"/>
    <s v="MMR015CMP016"/>
    <s v="Cluster 8"/>
    <s v="Kutkai downtown (KBC Church)"/>
    <n v="97.926813999999993"/>
    <n v="23.450914000000001"/>
    <s v="Camp"/>
    <s v="GCA"/>
    <s v="Urban"/>
    <s v="IDP in camps"/>
    <n v="65"/>
    <n v="310"/>
    <n v="310"/>
    <n v="305"/>
    <s v="2. Medium"/>
    <s v="HIDA/WHH/UNICEF"/>
    <s v="KBC"/>
    <x v="1"/>
    <s v="Covered"/>
    <x v="0"/>
  </r>
  <r>
    <x v="5"/>
    <s v="MMR015CMP017"/>
    <s v="Cluster 8"/>
    <s v="Kutkai downtown (RC Church)"/>
    <n v="97.947360000000003"/>
    <n v="23.460349999999998"/>
    <s v="Camp"/>
    <s v="GCA"/>
    <s v="Urban"/>
    <s v="IDP in camps"/>
    <n v="30"/>
    <n v="139"/>
    <n v="141"/>
    <n v="141"/>
    <s v="1. Small"/>
    <s v="DFID"/>
    <s v="KMSS"/>
    <x v="3"/>
    <s v="Covered"/>
    <x v="2"/>
  </r>
  <r>
    <x v="5"/>
    <s v="MMR015CMP018"/>
    <s v="Cluster 8"/>
    <s v="Mine Yu Lay village"/>
    <n v="97.793306999999999"/>
    <n v="23.589089000000001"/>
    <s v="Camp"/>
    <s v="GCA"/>
    <s v="Rural"/>
    <s v="IDP in Village type relocation"/>
    <n v="77"/>
    <n v="10"/>
    <n v="364"/>
    <n v="364"/>
    <s v="2. Medium"/>
    <s v="HIDA/WHH"/>
    <s v="KBC"/>
    <x v="1"/>
    <s v="Covered"/>
    <x v="4"/>
  </r>
  <r>
    <x v="5"/>
    <s v="MMR015CMP006"/>
    <s v="Cluster 8"/>
    <s v="Mungji Pa Dabang (Baptist Church)         "/>
    <n v="98.220614999999995"/>
    <n v="23.400155999999999"/>
    <s v="Camp"/>
    <s v="GCA"/>
    <s v="Rural"/>
    <s v="IDP in Village type relocation"/>
    <n v="51"/>
    <n v="260"/>
    <n v="251"/>
    <n v="251"/>
    <s v="2. Medium"/>
    <s v="HIDA/WHH"/>
    <s v="KBC"/>
    <x v="1"/>
    <s v="Covered"/>
    <x v="4"/>
  </r>
  <r>
    <x v="5"/>
    <s v="MMR015CMP019"/>
    <s v="Cluster 8"/>
    <s v="Mungji Pa Dabang (RC Church)         "/>
    <n v="98.213958000000005"/>
    <n v="23.391741"/>
    <s v="Camp"/>
    <s v="GCA"/>
    <s v="Rural"/>
    <s v="IDP in Village type relocation"/>
    <n v="21"/>
    <n v="107"/>
    <n v="108"/>
    <n v="108"/>
    <s v="1. Small"/>
    <s v="DFID"/>
    <s v="KMSS"/>
    <x v="3"/>
    <s v="Covered"/>
    <x v="2"/>
  </r>
  <r>
    <x v="5"/>
    <s v="MMR015CMP019"/>
    <s v="Cluster 8"/>
    <s v="Nam Hpak Ka Mare "/>
    <n v="97.819062000000002"/>
    <n v="23.694047000000001"/>
    <s v="Camp"/>
    <s v="GCA"/>
    <s v="Rural"/>
    <s v="IDP in camps"/>
    <n v="71"/>
    <n v="278"/>
    <n v="278"/>
    <n v="278"/>
    <s v="2. Medium"/>
    <s v="HIDA/WHH"/>
    <s v="KBC"/>
    <x v="1"/>
    <s v="Covered"/>
    <x v="4"/>
  </r>
  <r>
    <x v="5"/>
    <m/>
    <s v="Cluster 8"/>
    <s v="Nampaka (Man Mau host school)"/>
    <m/>
    <m/>
    <s v="School"/>
    <s v="GCA"/>
    <s v="Rural"/>
    <s v="Student in surrounding villages school"/>
    <m/>
    <m/>
    <n v="141"/>
    <n v="141"/>
    <s v="1. Small"/>
    <s v="UNICEF"/>
    <m/>
    <x v="1"/>
    <s v="Covered"/>
    <x v="0"/>
  </r>
  <r>
    <x v="5"/>
    <m/>
    <s v="Cluster 8"/>
    <s v="Pan Ku"/>
    <n v="97.875889999999998"/>
    <n v="23.44744"/>
    <s v="Camp"/>
    <s v="GCA"/>
    <s v="Rural"/>
    <s v="IDP in Village type relocation"/>
    <n v="105"/>
    <n v="568"/>
    <n v="531"/>
    <n v="531"/>
    <s v="2. Medium"/>
    <s v="HIDA/WHH"/>
    <m/>
    <x v="1"/>
    <s v="Covered"/>
    <x v="4"/>
  </r>
  <r>
    <x v="5"/>
    <s v="MMR015CMP019"/>
    <s v="Cluster 8"/>
    <s v="Zup Aung Camp"/>
    <n v="97.837040000000002"/>
    <n v="23.38503"/>
    <s v="Camp"/>
    <s v="GCA"/>
    <s v="Rural"/>
    <s v="IDP in Village type relocation"/>
    <n v="188"/>
    <n v="909"/>
    <n v="909"/>
    <n v="909"/>
    <s v="2. Medium"/>
    <s v="HIDA/WHH/UNICEF"/>
    <s v="KBC"/>
    <x v="1"/>
    <s v="Covered"/>
    <x v="0"/>
  </r>
  <r>
    <x v="6"/>
    <s v="MMR001CMP129"/>
    <s v="Cluster 6"/>
    <s v="Bum Tsit Pa * (1)"/>
    <n v="97.609832999999995"/>
    <n v="24.002433"/>
    <s v="Camp"/>
    <s v="NGCA"/>
    <s v="Rural"/>
    <s v="IDP in camps"/>
    <n v="174"/>
    <n v="1185"/>
    <n v="742"/>
    <n v="742"/>
    <s v="2. Medium"/>
    <s v="OFDA / UNICEF"/>
    <s v="KMSS"/>
    <x v="5"/>
    <s v="Covered"/>
    <x v="5"/>
  </r>
  <r>
    <x v="6"/>
    <s v="MMR001CMP202"/>
    <s v="Cluster 6"/>
    <s v="Bum Tsit Pa * (2)"/>
    <n v="97.609832999999995"/>
    <n v="24.002433"/>
    <s v="Camp"/>
    <s v="NGCA"/>
    <s v="Rural"/>
    <s v="IDP in camps"/>
    <n v="219"/>
    <n v="891"/>
    <n v="878"/>
    <n v="878"/>
    <s v="2. Medium"/>
    <s v="OFDA / UNICEF"/>
    <s v="KMSS- Lashio"/>
    <x v="5"/>
    <s v="Covered"/>
    <x v="5"/>
  </r>
  <r>
    <x v="6"/>
    <s v="MMR001CMP129"/>
    <s v="Cluster 6"/>
    <s v="Bum Tsit Pa * (3)"/>
    <n v="97.602490000000003"/>
    <n v="24.000039999999998"/>
    <s v="Camp"/>
    <s v="NGCA"/>
    <s v="Rural"/>
    <s v="IDP in camps"/>
    <m/>
    <m/>
    <n v="201"/>
    <n v="201"/>
    <s v="1. Small"/>
    <s v="OFDA / UNICEF"/>
    <m/>
    <x v="5"/>
    <s v="Covered"/>
    <x v="5"/>
  </r>
  <r>
    <x v="6"/>
    <s v="MMR001CMP230"/>
    <s v="Cluster 7"/>
    <s v="Clutural Compound"/>
    <n v="97.590767"/>
    <n v="23.829599000000002"/>
    <s v="Camp"/>
    <s v="GCA"/>
    <s v="Sub-urban"/>
    <s v="IDP in camps"/>
    <n v="319"/>
    <n v="1567"/>
    <n v="493"/>
    <n v="493"/>
    <s v="3. Large"/>
    <s v="UNICEF"/>
    <s v="KBC"/>
    <x v="6"/>
    <s v="Covered"/>
    <x v="5"/>
  </r>
  <r>
    <x v="6"/>
    <s v="MMR001CMP128"/>
    <s v="Cluster 6"/>
    <s v="Lana Zup Ja *"/>
    <n v="97.625617000000005"/>
    <n v="24.056132999999999"/>
    <s v="Camp"/>
    <s v="NGCA"/>
    <s v="Rural"/>
    <s v="IDP in camps"/>
    <n v="541"/>
    <n v="2607"/>
    <n v="2561"/>
    <n v="2561"/>
    <s v="4. Big"/>
    <s v="OFDA / UNICEF"/>
    <s v="KMSS"/>
    <x v="5"/>
    <s v="Covered"/>
    <x v="5"/>
  </r>
  <r>
    <x v="6"/>
    <s v="MMR001CMP212"/>
    <s v="Cluster 6"/>
    <s v="Maing Khaung Baptist Church"/>
    <n v="97.710989999999995"/>
    <n v="24.181640000000002"/>
    <s v="Camp"/>
    <s v="GCA"/>
    <s v="Rural"/>
    <s v="IDP in camps"/>
    <n v="207"/>
    <n v="1141"/>
    <n v="1430"/>
    <n v="1430"/>
    <s v="2. Medium"/>
    <m/>
    <s v="KBC"/>
    <x v="2"/>
    <s v="Not covered"/>
    <x v="1"/>
  </r>
  <r>
    <x v="6"/>
    <s v="MMR001CMP213"/>
    <s v="Cluster 6"/>
    <s v="Maing Khaung Catholic Church"/>
    <n v="97.710989999999995"/>
    <n v="24.181640000000002"/>
    <s v="Camp"/>
    <s v="GCA"/>
    <s v="Rural"/>
    <s v="IDP in camps"/>
    <n v="121"/>
    <n v="596"/>
    <n v="604"/>
    <n v="604"/>
    <s v="2. Medium"/>
    <m/>
    <s v="KMSS"/>
    <x v="2"/>
    <s v="Not covered"/>
    <x v="1"/>
  </r>
  <r>
    <x v="6"/>
    <s v="MMR001CMP133"/>
    <s v="Cluster 7"/>
    <s v="Man Wing Baptist Church*"/>
    <n v="97.587900000000005"/>
    <n v="23.83"/>
    <s v="Camp"/>
    <s v="GCA"/>
    <s v="Sub-urban"/>
    <s v="IDP in camps"/>
    <n v="115"/>
    <n v="532"/>
    <n v="524"/>
    <n v="524"/>
    <s v="2. Medium"/>
    <s v="ECHO/Unicef"/>
    <s v="KBC"/>
    <x v="6"/>
    <s v="Covered"/>
    <x v="5"/>
  </r>
  <r>
    <x v="6"/>
    <s v="MMR001CMP132"/>
    <s v="Cluster 7"/>
    <s v="Man Wing Catholic Church*"/>
    <n v="97.596000000000004"/>
    <n v="23.831"/>
    <s v="Camp"/>
    <s v="GCA"/>
    <s v="Sub-urban"/>
    <s v="IDP in camps"/>
    <n v="486"/>
    <n v="2371"/>
    <n v="2136"/>
    <n v="2136"/>
    <s v="3. Large"/>
    <s v="ECHO/Unicef"/>
    <s v="KMSS"/>
    <x v="6"/>
    <s v="Covered"/>
    <x v="5"/>
  </r>
  <r>
    <x v="6"/>
    <m/>
    <s v="Cluster 7"/>
    <s v="Man wing gyi (host school)"/>
    <m/>
    <m/>
    <s v="School"/>
    <s v="GCA"/>
    <s v="Rural"/>
    <s v="Student in surrounding villages school"/>
    <m/>
    <m/>
    <n v="1443"/>
    <n v="1443"/>
    <s v="1. Small"/>
    <s v="UNICEF"/>
    <m/>
    <x v="1"/>
    <s v="Covered"/>
    <x v="0"/>
  </r>
  <r>
    <x v="6"/>
    <s v="MMR001CMP134"/>
    <s v="Cluster 7"/>
    <s v="Man Wing Host Families"/>
    <n v="97.588291999999996"/>
    <n v="23.827870999999998"/>
    <s v="Village"/>
    <s v="GCA"/>
    <s v="Sub-urban"/>
    <s v="IDP in Host Villages"/>
    <n v="183"/>
    <n v="741"/>
    <m/>
    <n v="741"/>
    <s v="2. Medium"/>
    <m/>
    <m/>
    <x v="2"/>
    <s v="Not covered"/>
    <x v="1"/>
  </r>
  <r>
    <x v="6"/>
    <s v="MMR001CMP066"/>
    <s v="Cluster 4"/>
    <s v="Mansi Baptist Church*"/>
    <n v="97.291820000000001"/>
    <n v="24.129059999999999"/>
    <s v="Camp"/>
    <s v="GCA"/>
    <s v="Urban"/>
    <s v="IDP in camps"/>
    <n v="135"/>
    <n v="672"/>
    <n v="706"/>
    <n v="706"/>
    <s v="2. Medium"/>
    <s v="HIDA, WHH,USAID,UNICEF"/>
    <s v="KBC"/>
    <x v="1"/>
    <s v="Covered"/>
    <x v="0"/>
  </r>
  <r>
    <x v="6"/>
    <s v="MMR001CMP196"/>
    <s v="Cluster 4"/>
    <s v="Mansi Host Families"/>
    <n v="97.291820000000001"/>
    <n v="24.129059999999999"/>
    <s v="Village"/>
    <s v="GCA"/>
    <s v="Rural"/>
    <s v="IDP in Host Villages"/>
    <n v="76"/>
    <n v="256"/>
    <n v="499"/>
    <n v="499"/>
    <s v="2. Medium"/>
    <m/>
    <s v="KBC"/>
    <x v="2"/>
    <s v="Not covered"/>
    <x v="1"/>
  </r>
  <r>
    <x v="6"/>
    <s v="MMR001CMP228"/>
    <s v="Cluster 7"/>
    <s v="MWG -RC2"/>
    <n v="97.577347000000003"/>
    <n v="23.836462999999998"/>
    <s v="Camp"/>
    <s v="GCA"/>
    <s v="Sub-urban"/>
    <s v="IDP in camps"/>
    <n v="115"/>
    <n v="502"/>
    <n v="528"/>
    <n v="553"/>
    <s v="2. Medium"/>
    <s v="ECHO/Unicef"/>
    <s v="KMSS"/>
    <x v="6"/>
    <s v="Covered"/>
    <x v="5"/>
  </r>
  <r>
    <x v="7"/>
    <s v="MMR015CMP009"/>
    <s v="Cluster 9"/>
    <s v="Mandung - Jinghpaw"/>
    <n v="97.127340000000004"/>
    <n v="23.24954"/>
    <s v="Camp"/>
    <s v="GCA"/>
    <s v="Rural"/>
    <s v="IDP in camps"/>
    <n v="37"/>
    <n v="164"/>
    <n v="139"/>
    <n v="139"/>
    <s v="1. Small"/>
    <s v="HIDA/WHH/UNICEF"/>
    <s v="KBC"/>
    <x v="1"/>
    <s v="Covered"/>
    <x v="0"/>
  </r>
  <r>
    <x v="7"/>
    <s v="MMR015CMP209"/>
    <s v="Cluster 9"/>
    <s v="Mandung - RC"/>
    <n v="97.123440000000002"/>
    <n v="23.24568"/>
    <s v="Camp"/>
    <s v="GCA"/>
    <s v="Rural"/>
    <s v="IDP in camps"/>
    <n v="31"/>
    <n v="191"/>
    <n v="183"/>
    <n v="183"/>
    <s v="1. Small"/>
    <s v="DFID"/>
    <s v="KMSS"/>
    <x v="2"/>
    <s v="Not covered"/>
    <x v="1"/>
  </r>
  <r>
    <x v="8"/>
    <s v="MMR001CMP078"/>
    <s v="Cluster 3"/>
    <s v="Kyun Taw Baptist Church "/>
    <n v="96.922619999999995"/>
    <n v="25.305669999999999"/>
    <s v="Camp"/>
    <s v="GCA"/>
    <s v="Urban"/>
    <s v="IDP in camps"/>
    <n v="12"/>
    <n v="47"/>
    <n v="50"/>
    <n v="50"/>
    <s v="1. Small"/>
    <s v="CIDA"/>
    <s v="KBC"/>
    <x v="2"/>
    <s v="Not covered"/>
    <x v="1"/>
  </r>
  <r>
    <x v="8"/>
    <s v="MMR001CMP237"/>
    <s v="Cluster 3"/>
    <s v="Ma Hawng RC "/>
    <n v="96.94135"/>
    <n v="25.294460000000001"/>
    <s v="Camp"/>
    <s v="GCA"/>
    <s v="Sub-urban"/>
    <s v="IDP in camps"/>
    <n v="9"/>
    <n v="39"/>
    <n v="23"/>
    <n v="23"/>
    <s v="1. Small"/>
    <m/>
    <s v="KMSS"/>
    <x v="2"/>
    <s v="Not covered"/>
    <x v="1"/>
  </r>
  <r>
    <x v="8"/>
    <s v="MMR001CMP077"/>
    <s v="Cluster 3"/>
    <s v="Mang Hawng Baptist Church"/>
    <n v="96.942279999999997"/>
    <n v="25.296579999999999"/>
    <s v="Camp"/>
    <s v="GCA"/>
    <s v="Sub-urban"/>
    <s v="IDP in camps"/>
    <n v="18"/>
    <n v="78"/>
    <n v="56"/>
    <n v="56"/>
    <s v="1. Small"/>
    <s v="CIDA"/>
    <s v="KBC"/>
    <x v="2"/>
    <s v="Not covered"/>
    <x v="1"/>
  </r>
  <r>
    <x v="8"/>
    <s v="MMR001CMP079"/>
    <s v="Cluster 3"/>
    <s v="Nat Gyi Kone Baptist Church "/>
    <n v="96.948740000000001"/>
    <n v="25.30442"/>
    <s v="Camp"/>
    <s v="GCA"/>
    <s v="Urban"/>
    <s v="IDP in camps"/>
    <n v="14"/>
    <n v="44"/>
    <n v="36"/>
    <n v="36"/>
    <s v="1. Small"/>
    <s v="CIDA"/>
    <s v="KBC"/>
    <x v="2"/>
    <s v="Not covered"/>
    <x v="1"/>
  </r>
  <r>
    <x v="8"/>
    <s v="MMR001CMP236"/>
    <s v="Cluster 3"/>
    <s v="Sar Hmaw - KBC"/>
    <m/>
    <m/>
    <s v="Camp"/>
    <s v="GCA"/>
    <s v="Rural"/>
    <s v="IDP in camps"/>
    <n v="20"/>
    <n v="82"/>
    <n v="82"/>
    <n v="82"/>
    <s v="1. Small"/>
    <s v="CIDA"/>
    <m/>
    <x v="2"/>
    <s v="Not covered"/>
    <x v="1"/>
  </r>
  <r>
    <x v="8"/>
    <s v="MMR001CMP235"/>
    <s v="Cluster 3"/>
    <s v="Sar Maw-ICM"/>
    <m/>
    <m/>
    <s v="Village"/>
    <s v="GCA"/>
    <s v="Rural"/>
    <s v="IDP in Host Villages"/>
    <n v="24"/>
    <n v="83"/>
    <n v="83"/>
    <n v="83"/>
    <s v="1. Small"/>
    <s v="CIDA"/>
    <m/>
    <x v="2"/>
    <s v="Not covered"/>
    <x v="1"/>
  </r>
  <r>
    <x v="9"/>
    <s v="MMR001CMP232"/>
    <s v="Cluster 3"/>
    <s v="Hopin Host Families"/>
    <n v="96.52534"/>
    <n v="24.996279999999999"/>
    <s v="Village"/>
    <s v="GCA"/>
    <s v="Urban"/>
    <s v="IDP in Host Villages"/>
    <n v="36"/>
    <n v="153"/>
    <m/>
    <n v="153"/>
    <s v="1. Small"/>
    <m/>
    <m/>
    <x v="2"/>
    <s v="Not covered"/>
    <x v="1"/>
  </r>
  <r>
    <x v="9"/>
    <s v="MMR001CMP233"/>
    <s v="Cluster 3"/>
    <s v="Moenyin Host Families"/>
    <n v="96.366919999999993"/>
    <n v="24.764959999999999"/>
    <s v="Village"/>
    <s v="GCA"/>
    <s v="Urban"/>
    <s v="IDP in Host Villages"/>
    <n v="18"/>
    <n v="74"/>
    <m/>
    <n v="74"/>
    <s v="1. Small"/>
    <m/>
    <m/>
    <x v="2"/>
    <s v="Not covered"/>
    <x v="1"/>
  </r>
  <r>
    <x v="9"/>
    <s v="MMR001CMP152"/>
    <s v="Cluster 3"/>
    <s v="Nawng Ing (Indawgyi) Baptist Church  "/>
    <n v="96.364949999999993"/>
    <n v="24.998349999999999"/>
    <s v="Camp"/>
    <s v="GCA"/>
    <s v="Rural"/>
    <s v="IDP in camps"/>
    <n v="20"/>
    <n v="106"/>
    <n v="85"/>
    <n v="85"/>
    <s v="1. Small"/>
    <s v="CIDA"/>
    <s v="KBC"/>
    <x v="2"/>
    <s v="Not covered"/>
    <x v="1"/>
  </r>
  <r>
    <x v="9"/>
    <s v="MMR001CMP080"/>
    <s v="Cluster 3"/>
    <s v="St. Patrick Catholic Church "/>
    <n v="96.367059999999995"/>
    <n v="24.764800000000001"/>
    <s v="Camp"/>
    <s v="GCA"/>
    <s v="Sub-urban"/>
    <s v="IDP in camps"/>
    <n v="12"/>
    <n v="61"/>
    <n v="51"/>
    <n v="51"/>
    <s v="1. Small"/>
    <m/>
    <s v="KMSS"/>
    <x v="2"/>
    <s v="Not covered"/>
    <x v="1"/>
  </r>
  <r>
    <x v="10"/>
    <s v="MMR001CMP056"/>
    <s v="Cluster 4"/>
    <s v="Agritural Compound (KBC)"/>
    <n v="97.347049999999996"/>
    <n v="24.255870000000002"/>
    <s v="Camp"/>
    <s v="GCA"/>
    <s v="Sub-urban"/>
    <s v="IDP in camps"/>
    <n v="141"/>
    <n v="625"/>
    <n v="625"/>
    <n v="625"/>
    <s v="2. Medium"/>
    <s v="HIDA, WHH,USAID,UNICEF"/>
    <s v="KBC"/>
    <x v="1"/>
    <s v="Covered"/>
    <x v="0"/>
  </r>
  <r>
    <x v="10"/>
    <s v="MMR001CMP240"/>
    <s v="Cluster 4"/>
    <s v="Dawthponeyan Boarding School"/>
    <m/>
    <m/>
    <s v="School"/>
    <s v="GCA"/>
    <s v="Rural"/>
    <s v="Student in surrounding villages school"/>
    <m/>
    <n v="49"/>
    <m/>
    <n v="49"/>
    <s v="1. Small"/>
    <m/>
    <m/>
    <x v="2"/>
    <s v="Not covered"/>
    <x v="1"/>
  </r>
  <r>
    <x v="10"/>
    <s v="MMR001CMP123"/>
    <s v="Cluster 6"/>
    <s v="Dum Bung "/>
    <n v="97.537099999999995"/>
    <n v="24.461033"/>
    <s v="Camp"/>
    <s v="NGCA"/>
    <s v="Rural"/>
    <s v="IDP in camps"/>
    <n v="115"/>
    <n v="595"/>
    <n v="620"/>
    <n v="620"/>
    <s v="2. Medium"/>
    <s v="DFID"/>
    <s v="IRRC"/>
    <x v="3"/>
    <s v="Covered"/>
    <x v="2"/>
  </r>
  <r>
    <x v="10"/>
    <s v="MMR001CMP122"/>
    <s v="Cluster 5"/>
    <s v="Hpun Lum Yang "/>
    <n v="97.573166999999998"/>
    <n v="24.661466999999998"/>
    <s v="Camp"/>
    <s v="NGCA"/>
    <s v="Rural"/>
    <s v="IDP in camps"/>
    <n v="659"/>
    <n v="3194"/>
    <n v="2900"/>
    <n v="2900"/>
    <s v="4. Big"/>
    <s v="WHH / UNICEF"/>
    <s v="IRRC"/>
    <x v="1"/>
    <s v="Covered"/>
    <x v="0"/>
  </r>
  <r>
    <x v="10"/>
    <s v="MMR001CMP121"/>
    <s v="Cluster 5"/>
    <s v="Je Yang Hka "/>
    <n v="97.568282999999994"/>
    <n v="24.688167"/>
    <s v="Camp"/>
    <s v="NGCA"/>
    <s v="Rural"/>
    <s v="IDP in camps"/>
    <n v="1563"/>
    <n v="8037"/>
    <n v="7247"/>
    <n v="7852"/>
    <s v="5. Massive"/>
    <s v="ECHO"/>
    <s v="KMSS"/>
    <x v="7"/>
    <s v="Covered"/>
    <x v="0"/>
  </r>
  <r>
    <x v="10"/>
    <s v="MMR001CMP056"/>
    <s v="Cluster 4"/>
    <s v="Kachin Su Baptist Church (ECCD)"/>
    <n v="97.346310000000003"/>
    <n v="24.253630000000001"/>
    <s v="Camp"/>
    <s v="GCA"/>
    <s v="Urban"/>
    <s v="IDP in camps"/>
    <n v="23"/>
    <n v="113"/>
    <n v="113"/>
    <n v="113"/>
    <s v="1. Small"/>
    <s v="HIDA, WHH,USAID,UNICEF"/>
    <s v="KBC"/>
    <x v="1"/>
    <s v="Covered"/>
    <x v="0"/>
  </r>
  <r>
    <x v="10"/>
    <s v="MMR001CMP056"/>
    <s v="Cluster 4"/>
    <s v="Khar Nan (1) Baptist Church"/>
    <n v="97.359300000000005"/>
    <n v="24.267040000000001"/>
    <s v="Camp"/>
    <s v="GCA"/>
    <s v="Urban"/>
    <s v="IDP in camps"/>
    <n v="8"/>
    <n v="39"/>
    <n v="39"/>
    <n v="39"/>
    <s v="1. Small"/>
    <s v="HIDA, WHH,USAID,UNICEF"/>
    <s v="KBC"/>
    <x v="1"/>
    <s v="Covered"/>
    <x v="0"/>
  </r>
  <r>
    <x v="10"/>
    <s v="MMR001CMP200"/>
    <s v="Cluster 4"/>
    <s v="Khun Sint Village"/>
    <n v="97.193340000000006"/>
    <n v="24.230450000000001"/>
    <s v="Village"/>
    <s v="GCA"/>
    <s v="Rural"/>
    <s v="IDP in Host Villages"/>
    <n v="4"/>
    <n v="26"/>
    <n v="26"/>
    <n v="26"/>
    <s v="1. Small"/>
    <m/>
    <m/>
    <x v="2"/>
    <s v="Not covered"/>
    <x v="1"/>
  </r>
  <r>
    <x v="10"/>
    <s v="MMR001CMP071"/>
    <s v="Cluster 6"/>
    <s v="Loi Je Seng Ja Extention"/>
    <n v="97.718582999999995"/>
    <n v="24.200972"/>
    <s v="Camp"/>
    <s v="GCA"/>
    <s v="Sub-urban"/>
    <s v="IDP in camps"/>
    <n v="28"/>
    <n v="180"/>
    <n v="182"/>
    <n v="215"/>
    <s v="1. Small"/>
    <s v="OFDA"/>
    <s v="KBC"/>
    <x v="0"/>
    <s v="Covered"/>
    <x v="6"/>
  </r>
  <r>
    <x v="10"/>
    <s v="MMR001CMP069"/>
    <s v="Cluster 6"/>
    <s v="Loi Je Catholic Church"/>
    <n v="97.724566999999993"/>
    <n v="24.205417000000001"/>
    <s v="Camp"/>
    <s v="GCA"/>
    <s v="Sub-urban"/>
    <s v="IDP in camps"/>
    <n v="48"/>
    <n v="270"/>
    <n v="369"/>
    <n v="261"/>
    <s v="1. Small"/>
    <s v="OFDA"/>
    <s v="KMSS"/>
    <x v="0"/>
    <s v="Covered"/>
    <x v="6"/>
  </r>
  <r>
    <x v="10"/>
    <s v="MMR001CMP070"/>
    <s v="Cluster 6"/>
    <s v="Loi Je Lisu  (1) Camp"/>
    <n v="97.717133000000004"/>
    <n v="24.200433"/>
    <s v="Camp"/>
    <s v="GCA"/>
    <s v="Sub-urban"/>
    <s v="IDP in camps"/>
    <n v="75"/>
    <n v="435"/>
    <n v="412"/>
    <n v="435"/>
    <s v="2. Medium"/>
    <s v="OFDA"/>
    <s v="KBC"/>
    <x v="0"/>
    <s v="Covered"/>
    <x v="6"/>
  </r>
  <r>
    <x v="10"/>
    <s v="MMR001CMP070"/>
    <s v="Cluster 6"/>
    <s v="Loi Je Lisu  (2) Camp"/>
    <n v="97.715400000000002"/>
    <n v="24.20083"/>
    <s v="Camp"/>
    <s v="GCA"/>
    <s v="Sub-urban"/>
    <s v="IDP in camps"/>
    <n v="40"/>
    <n v="220"/>
    <n v="220"/>
    <n v="220"/>
    <s v="1. Small"/>
    <s v="OFDA"/>
    <s v="KBC"/>
    <x v="0"/>
    <s v="Covered"/>
    <x v="6"/>
  </r>
  <r>
    <x v="10"/>
    <s v="MMR001CMP070"/>
    <s v="Cluster 6"/>
    <s v="Loi Je Lisu  (3) Camp"/>
    <n v="97.716260000000005"/>
    <n v="24.20411"/>
    <s v="Camp"/>
    <s v="GCA"/>
    <s v="Sub-urban"/>
    <s v="IDP in camps"/>
    <n v="21"/>
    <n v="115"/>
    <n v="115"/>
    <n v="115"/>
    <s v="1. Small"/>
    <s v="OFDA"/>
    <s v="KBC"/>
    <x v="0"/>
    <s v="Covered"/>
    <x v="6"/>
  </r>
  <r>
    <x v="10"/>
    <s v="MMR001CMP070"/>
    <s v="Cluster 6"/>
    <s v="Loi Je Lisu  (4) Camp"/>
    <n v="97.714839999999995"/>
    <n v="24.20757"/>
    <s v="Camp"/>
    <s v="GCA"/>
    <s v="Sub-urban"/>
    <s v="IDP in camps"/>
    <n v="52"/>
    <n v="248"/>
    <n v="248"/>
    <n v="248"/>
    <s v="2. Medium"/>
    <s v="OFDA"/>
    <s v="KBC"/>
    <x v="0"/>
    <s v="Covered"/>
    <x v="6"/>
  </r>
  <r>
    <x v="10"/>
    <s v="MMR001CMP072"/>
    <s v="Cluster 6"/>
    <s v="Loi Je Nyaung Na Pin "/>
    <n v="97.724483000000006"/>
    <n v="24.205417000000001"/>
    <s v="Camp"/>
    <s v="GCA"/>
    <s v="Sub-urban"/>
    <s v="IDP in camps"/>
    <n v="50"/>
    <n v="310"/>
    <n v="295"/>
    <n v="310"/>
    <s v="1. Small"/>
    <s v="OFDA"/>
    <s v="KBC"/>
    <x v="0"/>
    <s v="Covered"/>
    <x v="6"/>
  </r>
  <r>
    <x v="10"/>
    <s v="MMR001CMP069"/>
    <s v="Cluster 6"/>
    <s v="Loi Je RC Boarding School"/>
    <n v="97.724000000000004"/>
    <n v="24.204999999999998"/>
    <s v="School"/>
    <s v="GCA"/>
    <s v="Sub-urban"/>
    <s v="Student in surrounding villages school"/>
    <n v="50"/>
    <n v="154"/>
    <n v="136"/>
    <n v="154"/>
    <s v="1. Small"/>
    <s v="OFDA"/>
    <s v="KMSS"/>
    <x v="0"/>
    <s v="Covered"/>
    <x v="6"/>
  </r>
  <r>
    <x v="10"/>
    <s v="MMR001CMP073"/>
    <s v="Cluster 6"/>
    <s v="Loi Je Seng Ja "/>
    <n v="97.710864000000001"/>
    <n v="24.207332999999998"/>
    <s v="Camp"/>
    <s v="GCA"/>
    <s v="Sub-urban"/>
    <s v="IDP in camps"/>
    <n v="39"/>
    <n v="236"/>
    <n v="285"/>
    <n v="237"/>
    <s v="1. Small"/>
    <s v="OFDA"/>
    <s v="KBC"/>
    <x v="0"/>
    <s v="Covered"/>
    <x v="6"/>
  </r>
  <r>
    <x v="10"/>
    <s v="MMR001CMP064"/>
    <s v="Cluster 4"/>
    <s v="Mai Khat "/>
    <n v="97.242360000000005"/>
    <n v="24.264130000000002"/>
    <s v="Village"/>
    <s v="GCA"/>
    <s v="Rural"/>
    <s v="IDP in Host Villages"/>
    <n v="2"/>
    <n v="9"/>
    <n v="9"/>
    <n v="9"/>
    <s v="1. Small"/>
    <m/>
    <m/>
    <x v="2"/>
    <s v="Not covered"/>
    <x v="1"/>
  </r>
  <r>
    <x v="10"/>
    <s v="MMR001CMP062"/>
    <s v="Cluster 4"/>
    <s v="Man Bung Catholic compound"/>
    <n v="97.325019999999995"/>
    <n v="24.245100000000001"/>
    <s v="Camp"/>
    <s v="GCA"/>
    <s v="Sub-urban"/>
    <s v="IDP in camps"/>
    <n v="265"/>
    <n v="1084"/>
    <n v="218"/>
    <n v="218"/>
    <s v="3. Large"/>
    <s v="HIDA, WHH,USAID,UNICEF"/>
    <s v="KMSS"/>
    <x v="1"/>
    <s v="Covered"/>
    <x v="0"/>
  </r>
  <r>
    <x v="10"/>
    <s v="MMR001CMP056"/>
    <s v="Cluster 4"/>
    <s v="Man Bung Edin Baptist Church"/>
    <n v="97.337649999999996"/>
    <n v="24.242049999999999"/>
    <s v="Camp"/>
    <s v="GCA"/>
    <s v="Sub-urban"/>
    <s v="IDP in camps"/>
    <n v="74"/>
    <n v="406"/>
    <n v="406"/>
    <n v="405"/>
    <s v="2. Medium"/>
    <s v="ECHO"/>
    <s v="KBC"/>
    <x v="0"/>
    <s v="Covered"/>
    <x v="0"/>
  </r>
  <r>
    <x v="10"/>
    <s v="MMR001CMP063"/>
    <s v="Cluster 4"/>
    <s v="Man Nawng "/>
    <n v="97.321659999999994"/>
    <n v="24.41"/>
    <s v="Village"/>
    <s v="GCA"/>
    <s v="Rural"/>
    <s v="IDP in Host Villages"/>
    <n v="28"/>
    <n v="136"/>
    <n v="136"/>
    <n v="136"/>
    <s v="1. Small"/>
    <m/>
    <m/>
    <x v="2"/>
    <s v="Not covered"/>
    <x v="1"/>
  </r>
  <r>
    <x v="10"/>
    <s v="MMR001CMP058"/>
    <s v="Cluster 4"/>
    <s v="Mandalay Monestry"/>
    <n v="97.346940000000004"/>
    <n v="24.251860000000001"/>
    <s v="Camp"/>
    <s v="GCA"/>
    <s v="Urban"/>
    <s v="IDP in camps"/>
    <n v="4"/>
    <n v="16"/>
    <n v="17"/>
    <n v="17"/>
    <s v="1. Small"/>
    <s v="HIDA, WHH,USAID,UNICEF"/>
    <s v="Shalom"/>
    <x v="1"/>
    <s v="Covered"/>
    <x v="0"/>
  </r>
  <r>
    <x v="10"/>
    <s v="MMR001CMP056"/>
    <s v="Cluster 4"/>
    <s v="Momauk Baptist Church"/>
    <n v="97.344359999999995"/>
    <n v="24.250689999999999"/>
    <s v="Camp"/>
    <s v="GCA"/>
    <s v="Urban"/>
    <s v="IDP in camps"/>
    <n v="413"/>
    <n v="1835"/>
    <n v="306"/>
    <n v="306"/>
    <s v="3. Large"/>
    <s v="HIDA, WHH,USAID,UNICEF"/>
    <s v="KBC"/>
    <x v="1"/>
    <s v="Covered"/>
    <x v="0"/>
  </r>
  <r>
    <x v="10"/>
    <s v="MMR001CMP197"/>
    <s v="Cluster 4"/>
    <s v="Momauk Host Families"/>
    <n v="97.344350000000006"/>
    <n v="24.25067"/>
    <s v="Village"/>
    <s v="GCA"/>
    <s v="Urban"/>
    <s v="IDP in Host Villages"/>
    <n v="320"/>
    <n v="1125"/>
    <n v="1504"/>
    <n v="1504"/>
    <s v="3. Large"/>
    <m/>
    <m/>
    <x v="2"/>
    <s v="Not covered"/>
    <x v="1"/>
  </r>
  <r>
    <x v="10"/>
    <s v="MMR001CMP061"/>
    <s v="Cluster 4"/>
    <s v="Myo Thit "/>
    <n v="97.406239999999997"/>
    <n v="24.40457"/>
    <s v="Village"/>
    <s v="GCA"/>
    <s v="Rural"/>
    <s v="IDP in Host Villages"/>
    <n v="13"/>
    <n v="53"/>
    <n v="53"/>
    <n v="53"/>
    <s v="1. Small"/>
    <m/>
    <m/>
    <x v="2"/>
    <s v="Not covered"/>
    <x v="1"/>
  </r>
  <r>
    <x v="10"/>
    <s v="MMR001CMP131"/>
    <s v="Cluster 6"/>
    <s v="Nhkawng Pa "/>
    <n v="97.669366999999994"/>
    <n v="24.378167000000001"/>
    <s v="Camp"/>
    <s v="NGCA"/>
    <s v="Rural"/>
    <s v="IDP in camps"/>
    <n v="412"/>
    <n v="1700"/>
    <n v="1633"/>
    <n v="1633"/>
    <s v="3. Large"/>
    <s v="UNICEF"/>
    <s v="KMSS"/>
    <x v="5"/>
    <s v="Covered"/>
    <x v="5"/>
  </r>
  <r>
    <x v="10"/>
    <s v="MMR001CMP059"/>
    <s v="Cluster 4"/>
    <s v="Ni Thaw Ka Monestry"/>
    <n v="97.347740000000002"/>
    <n v="24.253769999999999"/>
    <s v="Camp"/>
    <s v="GCA"/>
    <s v="Rural"/>
    <s v="IDP in camps"/>
    <n v="23"/>
    <n v="89"/>
    <n v="92"/>
    <n v="89"/>
    <s v="1. Small"/>
    <s v="ECHO"/>
    <s v="Shalom"/>
    <x v="0"/>
    <s v="Covered"/>
    <x v="0"/>
  </r>
  <r>
    <x v="10"/>
    <s v="MMR001CMP126"/>
    <s v="Cluster 6"/>
    <s v="Pa Kahtawng 1 A"/>
    <n v="97.755750000000006"/>
    <n v="24.273479999999999"/>
    <s v="Camp"/>
    <s v="NGCA"/>
    <s v="Rural"/>
    <s v="IDP in camps"/>
    <n v="840"/>
    <n v="3249"/>
    <n v="1342"/>
    <n v="1342"/>
    <s v="4. Big"/>
    <s v="UNICEF"/>
    <s v="KMSS"/>
    <x v="5"/>
    <s v="Covered"/>
    <x v="5"/>
  </r>
  <r>
    <x v="10"/>
    <s v="MMR001CMP126"/>
    <s v="Cluster 6"/>
    <s v="Pa Kahtawng 1B"/>
    <n v="97.754009999999994"/>
    <n v="24.275549999999999"/>
    <s v="Camp"/>
    <s v="NGCA"/>
    <s v="Rural"/>
    <s v="IDP in camps"/>
    <n v="50"/>
    <n v="251"/>
    <n v="251"/>
    <n v="251"/>
    <s v="1. Small"/>
    <s v="UNICEF"/>
    <s v="KMSS"/>
    <x v="5"/>
    <s v="Covered"/>
    <x v="5"/>
  </r>
  <r>
    <x v="10"/>
    <s v="MMR001CMP126"/>
    <s v="Cluster 6"/>
    <s v="Pa Kahtawng 2"/>
    <n v="97.751050000000006"/>
    <n v="24.279910000000001"/>
    <s v="Camp"/>
    <s v="NGCA"/>
    <s v="Rural"/>
    <s v="IDP in camps"/>
    <n v="108"/>
    <n v="538"/>
    <n v="538"/>
    <n v="538"/>
    <s v="2. Medium"/>
    <s v="UNICEF"/>
    <s v="KMSS"/>
    <x v="5"/>
    <s v="Covered"/>
    <x v="5"/>
  </r>
  <r>
    <x v="10"/>
    <s v="MMR001CMP126"/>
    <s v="Cluster 6"/>
    <s v="Pa Kahtawng Boarding High School "/>
    <n v="97.740570000000005"/>
    <n v="24.266819999999999"/>
    <s v="School"/>
    <s v="NGCA"/>
    <s v="Rural"/>
    <s v="Student in surrounding villages school"/>
    <m/>
    <m/>
    <n v="333"/>
    <n v="333"/>
    <s v="1. Small"/>
    <s v="UNICEF"/>
    <s v="KMSS"/>
    <x v="5"/>
    <s v="Covered"/>
    <x v="5"/>
  </r>
  <r>
    <x v="10"/>
    <s v="MMR001CMP126"/>
    <s v="Cluster 6"/>
    <s v="Pa Kahtawng Boarding Middle School "/>
    <n v="97.758769999999998"/>
    <n v="24.255469999999999"/>
    <s v="School"/>
    <s v="NGCA"/>
    <s v="Rural"/>
    <s v="Student in surrounding villages school"/>
    <m/>
    <m/>
    <n v="506"/>
    <n v="506"/>
    <s v="1. Small"/>
    <s v="UNICEF"/>
    <s v="KMSS"/>
    <x v="5"/>
    <s v="Covered"/>
    <x v="5"/>
  </r>
  <r>
    <x v="10"/>
    <s v="MMR001CMP126"/>
    <s v="Cluster 6"/>
    <s v="Pa Kahtawng Host Families"/>
    <n v="97.758769999999998"/>
    <n v="24.255469999999999"/>
    <s v="Village"/>
    <s v="NGCA"/>
    <s v="Rural"/>
    <s v="IDP in Host Villages"/>
    <n v="65"/>
    <n v="326"/>
    <n v="326"/>
    <n v="326"/>
    <s v="2. Medium"/>
    <s v="UNICEF"/>
    <s v="KMSS"/>
    <x v="5"/>
    <s v="Covered"/>
    <x v="5"/>
  </r>
  <r>
    <x v="10"/>
    <s v="MMR001CMP126"/>
    <s v="Cluster 6"/>
    <s v="Pa Kahtawng Primary House"/>
    <n v="97.755750000000006"/>
    <n v="24.273479999999999"/>
    <s v="School"/>
    <s v="NGCA"/>
    <s v="Rural"/>
    <s v="Student in surrounding villages school"/>
    <m/>
    <m/>
    <n v="211"/>
    <n v="211"/>
    <s v="1. Small"/>
    <s v="UNICEF"/>
    <s v="KMSS"/>
    <x v="5"/>
    <s v="Covered"/>
    <x v="5"/>
  </r>
  <r>
    <x v="10"/>
    <s v="MMR001CMP065"/>
    <s v="Cluster 4"/>
    <s v="Phar Kay/Nant Waing "/>
    <n v="97.429860000000005"/>
    <n v="24.630859999999998"/>
    <s v="Village"/>
    <s v="GCA"/>
    <s v="Rural"/>
    <s v="IDP in Host Villages"/>
    <n v="39"/>
    <n v="176"/>
    <m/>
    <n v="176"/>
    <s v="1. Small"/>
    <m/>
    <m/>
    <x v="2"/>
    <s v="Not covered"/>
    <x v="1"/>
  </r>
  <r>
    <x v="10"/>
    <s v="MMR001CMP060"/>
    <s v="Cluster 4"/>
    <s v="Tarli "/>
    <n v="97.417240000000007"/>
    <n v="24.49184"/>
    <s v="Village"/>
    <s v="GCA"/>
    <s v="Rural"/>
    <s v="IDP in Host Villages"/>
    <n v="10"/>
    <n v="38"/>
    <n v="38"/>
    <n v="38"/>
    <s v="1. Small"/>
    <m/>
    <m/>
    <x v="2"/>
    <s v="Not covered"/>
    <x v="1"/>
  </r>
  <r>
    <x v="11"/>
    <s v="MMR015CMP022"/>
    <s v="Cluster 7"/>
    <s v="Hpai Kawng Mare"/>
    <n v="98.115809999999996"/>
    <n v="24.08738"/>
    <s v="Village"/>
    <s v="NGCA"/>
    <s v="Rural"/>
    <s v="IDP in Host Villages"/>
    <n v="32"/>
    <n v="187"/>
    <m/>
    <n v="187"/>
    <s v="1. Small"/>
    <m/>
    <m/>
    <x v="2"/>
    <s v="Not covered"/>
    <x v="1"/>
  </r>
  <r>
    <x v="11"/>
    <s v="MMR015CMP012"/>
    <s v="Cluster 7"/>
    <s v="Munekoe Pa (Giwang) - Hka San (Mung  Go  Pa ) "/>
    <n v="98.320651999999995"/>
    <n v="24.101320999999999"/>
    <s v="Village"/>
    <s v="NGCA"/>
    <s v="Urban"/>
    <s v="IDP in Host Villages"/>
    <n v="32"/>
    <n v="156"/>
    <m/>
    <n v="156"/>
    <s v="1. Small"/>
    <m/>
    <m/>
    <x v="2"/>
    <s v="Not covered"/>
    <x v="1"/>
  </r>
  <r>
    <x v="11"/>
    <s v="MMR015CMP005"/>
    <s v="Cluster 7"/>
    <s v="Mung Baw "/>
    <n v="98.054946000000001"/>
    <n v="24.008452999999999"/>
    <s v="Village"/>
    <s v="NGCA"/>
    <s v="Rural"/>
    <s v="IDP in Host Villages"/>
    <n v="123"/>
    <n v="503"/>
    <m/>
    <n v="503"/>
    <s v="2. Medium"/>
    <m/>
    <m/>
    <x v="2"/>
    <s v="Not covered"/>
    <x v="1"/>
  </r>
  <r>
    <x v="11"/>
    <s v="MMR015CMP213"/>
    <s v="Cluster 7"/>
    <s v="Muse KBC Church"/>
    <n v="97.909217999999996"/>
    <n v="24.005448999999999"/>
    <s v="Camp"/>
    <s v="GCA"/>
    <s v="Urban"/>
    <s v="IDP in camps"/>
    <n v="56"/>
    <n v="264"/>
    <n v="240"/>
    <n v="240"/>
    <s v="2. Medium"/>
    <s v="HIDA/WHH/UNICEF"/>
    <s v="KBC"/>
    <x v="1"/>
    <s v="Covered"/>
    <x v="0"/>
  </r>
  <r>
    <x v="11"/>
    <s v="MMR015CMP216"/>
    <s v="Cluster 7"/>
    <s v="Muse RC Church"/>
    <n v="97.911671100000007"/>
    <n v="24.006896999999999"/>
    <s v="Camp"/>
    <s v="GCA"/>
    <s v="Urban"/>
    <s v="IDP in camps"/>
    <n v="30"/>
    <n v="188"/>
    <n v="127"/>
    <n v="127"/>
    <s v="1. Small"/>
    <m/>
    <s v="KMSS"/>
    <x v="2"/>
    <s v="Not covered"/>
    <x v="1"/>
  </r>
  <r>
    <x v="12"/>
    <s v="MMR001CMP012"/>
    <s v="Cluster 2"/>
    <s v="Du Kahtawng Qtr. 14"/>
    <n v="97.385101000000006"/>
    <n v="25.399795999999998"/>
    <s v="Camp"/>
    <s v="GCA"/>
    <s v="Urban"/>
    <s v="IDP in camps"/>
    <n v="6"/>
    <n v="28"/>
    <n v="27"/>
    <n v="27"/>
    <s v="1. Small"/>
    <s v="CIDA"/>
    <s v="KBC"/>
    <x v="2"/>
    <s v="Not covered"/>
    <x v="1"/>
  </r>
  <r>
    <x v="12"/>
    <s v="MMR001CMP010"/>
    <s v="Cluster 2"/>
    <s v="Du Kahtawng Qtr. 4"/>
    <n v="97.383056999999994"/>
    <n v="25.395994000000002"/>
    <s v="Camp"/>
    <s v="GCA"/>
    <s v="Urban"/>
    <s v="IDP in camps"/>
    <n v="6"/>
    <n v="39"/>
    <n v="35"/>
    <n v="35"/>
    <s v="1. Small"/>
    <s v="CIDA"/>
    <s v="KBC"/>
    <x v="2"/>
    <s v="Not covered"/>
    <x v="1"/>
  </r>
  <r>
    <x v="12"/>
    <s v="MMR001CMP011"/>
    <s v="Cluster 2"/>
    <s v="Du Kahtawng Qtr. 5"/>
    <n v="97.381195000000005"/>
    <n v="25.396363999999998"/>
    <s v="Camp"/>
    <s v="GCA"/>
    <s v="Urban"/>
    <s v="IDP in camps"/>
    <n v="8"/>
    <n v="30"/>
    <n v="26"/>
    <n v="26"/>
    <s v="1. Small"/>
    <s v="CIDA"/>
    <s v="KBC"/>
    <x v="2"/>
    <s v="Not covered"/>
    <x v="1"/>
  </r>
  <r>
    <x v="12"/>
    <s v="MMR001CMP018"/>
    <s v="Cluster 2"/>
    <s v="Jan Mai Kawng Baptist Church"/>
    <n v="97.389778000000007"/>
    <n v="25.417733999999999"/>
    <s v="Camp"/>
    <s v="GCA"/>
    <s v="Urban"/>
    <s v="IDP in camps"/>
    <n v="190"/>
    <n v="1047"/>
    <n v="927"/>
    <n v="927"/>
    <s v="2. Medium"/>
    <s v="CIDA"/>
    <s v="KBC"/>
    <x v="2"/>
    <s v="Not covered"/>
    <x v="1"/>
  </r>
  <r>
    <x v="12"/>
    <s v="MMR001CMP019"/>
    <s v="Cluster 2"/>
    <s v="Jan Mai Kawng Catholic Church"/>
    <n v="97.373361000000003"/>
    <n v="25.403476999999999"/>
    <s v="Camp"/>
    <s v="GCA"/>
    <s v="Urban"/>
    <s v="IDP in camps"/>
    <n v="107"/>
    <n v="503"/>
    <n v="468"/>
    <n v="468"/>
    <s v="2. Medium"/>
    <s v="DFID"/>
    <s v="KMSS"/>
    <x v="2"/>
    <s v="Not covered"/>
    <x v="1"/>
  </r>
  <r>
    <x v="12"/>
    <s v="MMR001CMP013"/>
    <s v="Cluster 2"/>
    <s v="Kyun Pin Thar Baptist Church"/>
    <n v="97.405120999999994"/>
    <n v="25.365891000000001"/>
    <s v="Camp"/>
    <s v="GCA"/>
    <s v="Urban"/>
    <s v="IDP in camps"/>
    <n v="44"/>
    <n v="180"/>
    <n v="193"/>
    <n v="193"/>
    <s v="1. Small"/>
    <s v="CIDA"/>
    <s v="KBC"/>
    <x v="2"/>
    <s v="Not covered"/>
    <x v="1"/>
  </r>
  <r>
    <x v="12"/>
    <s v="MMR001CMP015"/>
    <s v="Cluster 2"/>
    <s v="Le Kone Bethlehem Church"/>
    <n v="97.409317000000001"/>
    <n v="25.362189999999998"/>
    <s v="Camp"/>
    <s v="GCA"/>
    <s v="Urban"/>
    <s v="IDP in camps"/>
    <n v="107"/>
    <n v="584"/>
    <n v="328"/>
    <n v="328"/>
    <s v="2. Medium"/>
    <s v="CIDA"/>
    <s v="KBC"/>
    <x v="2"/>
    <s v="Not covered"/>
    <x v="1"/>
  </r>
  <r>
    <x v="12"/>
    <s v="MMR001CMP014"/>
    <s v="Cluster 2"/>
    <s v="Le Kone Ziun Baptist Church "/>
    <n v="97.408919999999995"/>
    <n v="25.355983999999999"/>
    <s v="Camp"/>
    <s v="GCA"/>
    <s v="Urban"/>
    <s v="IDP in camps"/>
    <n v="163"/>
    <n v="762"/>
    <n v="462"/>
    <n v="462"/>
    <s v="2. Medium"/>
    <s v="CIDA"/>
    <s v="KBC"/>
    <x v="2"/>
    <s v="Not covered"/>
    <x v="1"/>
  </r>
  <r>
    <x v="12"/>
    <s v="MMR001CMP016"/>
    <s v="Cluster 2"/>
    <s v="Maliyang Baptist Church"/>
    <n v="97.411606000000006"/>
    <n v="25.360475999999998"/>
    <s v="Camp"/>
    <s v="GCA"/>
    <s v="Rural"/>
    <s v="IDP in camps"/>
    <n v="72"/>
    <n v="333"/>
    <n v="318"/>
    <n v="318"/>
    <s v="2. Medium"/>
    <s v="CIDA"/>
    <s v="KBC"/>
    <x v="2"/>
    <s v="Not covered"/>
    <x v="1"/>
  </r>
  <r>
    <x v="12"/>
    <s v="MMR001CMP008"/>
    <s v="Cluster 2"/>
    <s v="Man Hkring Baptist Church"/>
    <n v="97.418694000000002"/>
    <n v="25.428910999999999"/>
    <s v="Camp"/>
    <s v="GCA"/>
    <s v="Sub-urban"/>
    <s v="IDP in camps"/>
    <n v="93"/>
    <n v="446"/>
    <n v="368"/>
    <n v="368"/>
    <s v="2. Medium"/>
    <s v="CIDA"/>
    <s v="KBC"/>
    <x v="2"/>
    <s v="Not covered"/>
    <x v="1"/>
  </r>
  <r>
    <x v="12"/>
    <s v="MMR001CMP020"/>
    <s v="Cluster 2"/>
    <s v="Maw Hpawng Hka Nan Baptist Church"/>
    <n v="97.284729999999996"/>
    <n v="25.374020000000002"/>
    <s v="Camp"/>
    <s v="GCA"/>
    <s v="Sub-urban"/>
    <s v="IDP in camps"/>
    <n v="22"/>
    <n v="110"/>
    <n v="90"/>
    <n v="103"/>
    <s v="1. Small"/>
    <s v="AusAid"/>
    <s v="Shalom"/>
    <x v="2"/>
    <s v="Not covered"/>
    <x v="1"/>
  </r>
  <r>
    <x v="12"/>
    <s v="MMR001CMP021"/>
    <s v="Cluster 2"/>
    <s v="Maw Hpawng Lhaovo Baptist Church"/>
    <n v="97.291079999999994"/>
    <n v="25.371179999999999"/>
    <s v="Camp"/>
    <s v="GCA"/>
    <s v="Sub-urban"/>
    <s v="IDP in camps"/>
    <n v="14"/>
    <n v="103"/>
    <n v="60"/>
    <n v="72"/>
    <s v="1. Small"/>
    <s v="AusAid"/>
    <s v="Shalom"/>
    <x v="2"/>
    <s v="Not covered"/>
    <x v="1"/>
  </r>
  <r>
    <x v="12"/>
    <s v="MMR001CMP024"/>
    <s v="Cluster 2"/>
    <s v="Nan Kway St. John Catholic Church"/>
    <n v="97.359380000000002"/>
    <n v="25.411770000000001"/>
    <s v="Camp"/>
    <s v="GCA"/>
    <s v="Sub-urban"/>
    <s v="IDP in camps"/>
    <n v="70"/>
    <n v="326"/>
    <n v="308"/>
    <n v="308"/>
    <s v="2. Medium"/>
    <s v="DFID"/>
    <s v="KMSS"/>
    <x v="2"/>
    <s v="Not covered"/>
    <x v="1"/>
  </r>
  <r>
    <x v="12"/>
    <s v="MMR001CMP002"/>
    <s v="Cluster 2"/>
    <s v="Njang Dung Baptist Church "/>
    <n v="97.394547000000003"/>
    <n v="25.422194000000001"/>
    <s v="Camp"/>
    <s v="GCA"/>
    <s v="Sub-urban"/>
    <s v="IDP in camps"/>
    <n v="56"/>
    <n v="230"/>
    <n v="221"/>
    <n v="221"/>
    <s v="2. Medium"/>
    <s v="CIDA"/>
    <s v="KBC"/>
    <x v="2"/>
    <s v="Not covered"/>
    <x v="1"/>
  </r>
  <r>
    <x v="12"/>
    <s v="MMR001CMP162"/>
    <s v="Cluster 2"/>
    <s v="Pa Dauk Myaing(Pa La Na)"/>
    <n v="97.4345"/>
    <n v="25.493819999999999"/>
    <s v="Camp"/>
    <s v="GCA"/>
    <s v="Sub-urban"/>
    <s v="IDP in camps"/>
    <n v="41"/>
    <n v="233"/>
    <n v="176"/>
    <n v="176"/>
    <s v="1. Small"/>
    <s v="DFID"/>
    <s v="KMSS"/>
    <x v="2"/>
    <s v="Not covered"/>
    <x v="1"/>
  </r>
  <r>
    <x v="12"/>
    <s v="MMR001CMP006"/>
    <s v="Cluster 2"/>
    <s v="Shatapru Sut Ngai Tawng"/>
    <n v="97.399628000000007"/>
    <n v="25.412313000000001"/>
    <s v="Camp"/>
    <s v="GCA"/>
    <s v="Urban"/>
    <s v="IDP in camps"/>
    <n v="97"/>
    <n v="382"/>
    <n v="398"/>
    <n v="398"/>
    <s v="2. Medium"/>
    <s v="CIDA"/>
    <s v="KBC"/>
    <x v="2"/>
    <s v="Not covered"/>
    <x v="1"/>
  </r>
  <r>
    <x v="12"/>
    <s v="MMR001CMP007"/>
    <s v="Cluster 2"/>
    <s v="Shatapru Thida Aye Baptist Church"/>
    <n v="97.418004999999994"/>
    <n v="25.423817"/>
    <s v="Camp"/>
    <s v="GCA"/>
    <s v="Urban"/>
    <s v="IDP in camps"/>
    <n v="28"/>
    <n v="73"/>
    <n v="112"/>
    <n v="130"/>
    <s v="1. Small"/>
    <s v="AusAid"/>
    <s v="Shalom"/>
    <x v="2"/>
    <s v="Not covered"/>
    <x v="1"/>
  </r>
  <r>
    <x v="12"/>
    <s v="MMR001CMP009"/>
    <s v="Cluster 2"/>
    <s v="Shwe Zet Baptist Church"/>
    <n v="97.419403000000003"/>
    <n v="25.440928"/>
    <s v="Camp"/>
    <s v="GCA"/>
    <s v="Sub-urban"/>
    <s v="IDP in camps"/>
    <n v="87"/>
    <n v="461"/>
    <n v="418"/>
    <n v="418"/>
    <s v="2. Medium"/>
    <s v="CIDA"/>
    <s v="KBC"/>
    <x v="2"/>
    <s v="Not covered"/>
    <x v="1"/>
  </r>
  <r>
    <x v="12"/>
    <s v="MMR001CMP023"/>
    <s v="Cluster 2"/>
    <s v="Tat Kone (Ra Da Kawng)"/>
    <n v="97.387370000000004"/>
    <n v="25.42595"/>
    <s v="Camp"/>
    <s v="GCA"/>
    <s v="Urban"/>
    <s v="IDP in camps"/>
    <n v="65"/>
    <n v="335"/>
    <n v="311"/>
    <n v="335"/>
    <s v="2. Medium"/>
    <s v="AusAid"/>
    <s v="Shalom"/>
    <x v="2"/>
    <s v="Not covered"/>
    <x v="1"/>
  </r>
  <r>
    <x v="12"/>
    <s v="MMR001CMP001"/>
    <s v="Cluster 2"/>
    <s v="Tat Kone Baptist Church"/>
    <n v="97.386718999999999"/>
    <n v="25.415482000000001"/>
    <s v="Camp"/>
    <s v="GCA"/>
    <s v="Urban"/>
    <s v="IDP in camps"/>
    <n v="69"/>
    <n v="349"/>
    <n v="316"/>
    <n v="316"/>
    <s v="2. Medium"/>
    <s v="CIDA"/>
    <s v="KBC"/>
    <x v="2"/>
    <s v="Not covered"/>
    <x v="1"/>
  </r>
  <r>
    <x v="12"/>
    <s v="MMR001CMP004"/>
    <s v="Cluster 2"/>
    <s v="Tat Kone Emanuel Church"/>
    <n v="97.379272"/>
    <n v="25.401074999999999"/>
    <s v="Camp"/>
    <s v="GCA"/>
    <s v="Urban"/>
    <s v="IDP in camps"/>
    <n v="12"/>
    <n v="60"/>
    <n v="39"/>
    <n v="55"/>
    <s v="1. Small"/>
    <s v="AusAid"/>
    <s v="Shalom"/>
    <x v="2"/>
    <s v="Not covered"/>
    <x v="1"/>
  </r>
  <r>
    <x v="12"/>
    <s v="MMR001CMP003"/>
    <s v="Cluster 2"/>
    <s v="Tat Kone Galile Baptist Church"/>
    <n v="97.377662999999998"/>
    <n v="25.404752999999999"/>
    <s v="Camp"/>
    <s v="GCA"/>
    <s v="Urban"/>
    <s v="IDP in camps"/>
    <n v="32"/>
    <n v="146"/>
    <n v="151"/>
    <n v="151"/>
    <s v="1. Small"/>
    <s v="CIDA"/>
    <s v="KBC"/>
    <x v="2"/>
    <s v="Not covered"/>
    <x v="1"/>
  </r>
  <r>
    <x v="12"/>
    <s v="MMR001CMP005"/>
    <s v="Cluster 2"/>
    <s v="Tat Kone San Pya Baptist Church"/>
    <n v="97.382192000000003"/>
    <n v="25.404015000000001"/>
    <s v="Camp"/>
    <s v="GCA"/>
    <s v="Urban"/>
    <s v="IDP in camps"/>
    <n v="35"/>
    <n v="175"/>
    <n v="178"/>
    <n v="178"/>
    <s v="1. Small"/>
    <s v="CIDA"/>
    <s v="KBC"/>
    <x v="2"/>
    <s v="Not covered"/>
    <x v="1"/>
  </r>
  <r>
    <x v="12"/>
    <s v="MMR001CMP022"/>
    <s v="Cluster 2"/>
    <s v="Wun Tho Buddhist Monastery"/>
    <n v="97.403407999999999"/>
    <n v="25.377545999999999"/>
    <s v="Camp"/>
    <s v="GCA"/>
    <s v="Urban"/>
    <s v="IDP in camps"/>
    <n v="7"/>
    <n v="34"/>
    <n v="34"/>
    <n v="37"/>
    <s v="1. Small"/>
    <s v="AusAid"/>
    <s v="Shalom"/>
    <x v="2"/>
    <s v="Not covered"/>
    <x v="1"/>
  </r>
  <r>
    <x v="13"/>
    <s v="MMR015CMP215"/>
    <s v="Cluster 7"/>
    <s v="Bang Lung"/>
    <n v="97.709548999999996"/>
    <n v="23.838459"/>
    <s v="Camp"/>
    <s v="GCA"/>
    <s v="Rural"/>
    <s v="IDP in camps"/>
    <n v="134"/>
    <n v="623"/>
    <n v="623"/>
    <n v="623"/>
    <s v="2. Medium"/>
    <s v="HIDA/WHH"/>
    <s v="KBC"/>
    <x v="1"/>
    <s v="Covered"/>
    <x v="4"/>
  </r>
  <r>
    <x v="13"/>
    <s v="MMR015CMP214"/>
    <s v="Cluster 7"/>
    <s v="Jaw 2"/>
    <n v="97.701576000000003"/>
    <n v="23.842051000000001"/>
    <s v="Camp"/>
    <s v="GCA"/>
    <s v="Rural"/>
    <s v="IDP in camps"/>
    <n v="37"/>
    <n v="214"/>
    <n v="200"/>
    <n v="200"/>
    <s v="1. Small"/>
    <s v="HIDA/WHH"/>
    <s v="KBC"/>
    <x v="1"/>
    <s v="Covered"/>
    <x v="4"/>
  </r>
  <r>
    <x v="13"/>
    <s v="MMR015CMP004"/>
    <s v="Cluster 7"/>
    <s v="Nam Hkam - Nay Win Ni (Palawng)"/>
    <n v="97.681920000000005"/>
    <n v="23.821317000000001"/>
    <s v="Camp"/>
    <s v="GCA"/>
    <s v="Urban"/>
    <s v="IDP in camps"/>
    <n v="77"/>
    <n v="384"/>
    <n v="386"/>
    <n v="386"/>
    <s v="2. Medium"/>
    <m/>
    <s v="KBC"/>
    <x v="2"/>
    <s v="Not covered"/>
    <x v="1"/>
  </r>
  <r>
    <x v="13"/>
    <s v="MMR015CMP001"/>
    <s v="Cluster 7"/>
    <s v="Nam Hkam (KBC Jaw Wang)"/>
    <n v="97.683499999999995"/>
    <n v="23.831700000000001"/>
    <s v="Camp"/>
    <s v="GCA"/>
    <s v="Urban"/>
    <s v="IDP in camps"/>
    <n v="73"/>
    <n v="393"/>
    <n v="366"/>
    <n v="366"/>
    <s v="2. Medium"/>
    <s v="ECHO"/>
    <s v="KBC"/>
    <x v="6"/>
    <s v="Covered"/>
    <x v="5"/>
  </r>
  <r>
    <x v="13"/>
    <s v="MMR015CMP003"/>
    <s v="Cluster 7"/>
    <s v="Nam Hkam Catholic Church ( St. Thomas I)"/>
    <n v="97.685199999999995"/>
    <n v="23.833100000000002"/>
    <s v="Camp"/>
    <s v="GCA"/>
    <s v="Urban"/>
    <s v="IDP in camps"/>
    <n v="50"/>
    <n v="218"/>
    <n v="212"/>
    <n v="212"/>
    <s v="1. Small"/>
    <s v="ECHO"/>
    <s v="KMSS"/>
    <x v="6"/>
    <s v="Covered"/>
    <x v="5"/>
  </r>
  <r>
    <x v="14"/>
    <s v="MMR015CMP210"/>
    <s v="Cluster 9"/>
    <s v="Nam Tu RC"/>
    <n v="97.398989"/>
    <n v="23.088058"/>
    <s v="Village"/>
    <s v="NGCA"/>
    <s v="Rural"/>
    <s v="IDP in Host Villages"/>
    <n v="118"/>
    <n v="520"/>
    <n v="446"/>
    <n v="446"/>
    <s v="2. Medium"/>
    <m/>
    <s v="KMSS"/>
    <x v="2"/>
    <s v="Not covered"/>
    <x v="1"/>
  </r>
  <r>
    <x v="14"/>
    <s v="MMR015CMP019"/>
    <s v="Cluster 9"/>
    <s v="Namtu Baptist"/>
    <n v="97.406869999999998"/>
    <n v="23.092880000000001"/>
    <s v="Camp"/>
    <s v="GCA"/>
    <s v="Sub-urban"/>
    <s v="IDP in camps"/>
    <n v="9"/>
    <n v="52"/>
    <n v="39"/>
    <n v="39"/>
    <s v="1. Small"/>
    <s v="HIDA/WHH"/>
    <s v=" "/>
    <x v="1"/>
    <s v="Covered"/>
    <x v="4"/>
  </r>
  <r>
    <x v="15"/>
    <s v="MMR001CMP075"/>
    <s v="Cluster 10"/>
    <s v="Doke Htan Ward"/>
    <n v="97.418279999999996"/>
    <n v="27.310880000000001"/>
    <s v="Village"/>
    <s v="GCA"/>
    <s v="Urban"/>
    <s v="IDP in Host Villages"/>
    <n v="14"/>
    <n v="64"/>
    <n v="64"/>
    <n v="64"/>
    <s v="1. Small"/>
    <m/>
    <m/>
    <x v="2"/>
    <s v="Not covered"/>
    <x v="1"/>
  </r>
  <r>
    <x v="15"/>
    <s v="MMR001CMP234"/>
    <s v="Cluster 10"/>
    <s v="Lung Sut"/>
    <m/>
    <m/>
    <s v="Camp"/>
    <s v="GCA"/>
    <s v="Rural"/>
    <s v="IDP in camps"/>
    <n v="91"/>
    <n v="400"/>
    <n v="310"/>
    <n v="310"/>
    <s v="2. Medium"/>
    <s v="CIDA"/>
    <s v="KBC"/>
    <x v="2"/>
    <s v="Not covered"/>
    <x v="1"/>
  </r>
  <r>
    <x v="15"/>
    <s v="MMR001CMP227"/>
    <s v="Cluster 10"/>
    <s v="N-Lwe Yan"/>
    <n v="97.561105999999995"/>
    <n v="27.248964999999998"/>
    <s v="Village"/>
    <s v="GCA"/>
    <s v="Rural"/>
    <s v="IDP in Host Villages"/>
    <n v="10"/>
    <n v="56"/>
    <n v="52"/>
    <n v="52"/>
    <s v="1. Small"/>
    <m/>
    <m/>
    <x v="2"/>
    <s v="Not covered"/>
    <x v="1"/>
  </r>
  <r>
    <x v="16"/>
    <s v="MMR001CMP147"/>
    <s v="Cluster 4"/>
    <s v="Lawk Awng Mare D. (Sinbo Area)"/>
    <m/>
    <m/>
    <s v="Camp"/>
    <s v="NGCA"/>
    <s v="Rural"/>
    <s v="IDP in camps"/>
    <n v="375"/>
    <n v="1691"/>
    <n v="68"/>
    <n v="68"/>
    <s v="3. Large"/>
    <s v="DFID"/>
    <s v="KMSS"/>
    <x v="2"/>
    <s v="Not covered"/>
    <x v="1"/>
  </r>
  <r>
    <x v="16"/>
    <s v="MMR001CMP067"/>
    <s v="Cluster 4"/>
    <s v="Shwe Gu Baptist Church"/>
    <n v="96.807353000000006"/>
    <n v="24.200361000000001"/>
    <s v="Camp"/>
    <s v="GCA"/>
    <s v="Urban"/>
    <s v="IDP in camps"/>
    <n v="80"/>
    <n v="279"/>
    <n v="306"/>
    <n v="306"/>
    <s v="2. Medium"/>
    <s v="HIDA, WHH,USAID,UNICEF"/>
    <s v="KBC"/>
    <x v="1"/>
    <s v="Covered"/>
    <x v="0"/>
  </r>
  <r>
    <x v="16"/>
    <s v="MMR001CMP068"/>
    <s v="Cluster 4"/>
    <s v="Shwe Gu Catholic Church"/>
    <n v="96.807353000000006"/>
    <n v="24.200367"/>
    <s v="Camp"/>
    <s v="GCA"/>
    <s v="Urban"/>
    <s v="IDP in camps"/>
    <n v="40"/>
    <n v="208"/>
    <n v="218"/>
    <n v="218"/>
    <s v="1. Small"/>
    <s v="HIDA, WHH,USAID,UNICEF"/>
    <s v="KMSS"/>
    <x v="1"/>
    <s v="Covered"/>
    <x v="0"/>
  </r>
  <r>
    <x v="16"/>
    <s v="MMR001CMP199"/>
    <s v="Cluster 4"/>
    <s v="Shwegu Host Families"/>
    <n v="96.807350999999997"/>
    <n v="24.200362999999999"/>
    <s v="Village"/>
    <s v="GCA"/>
    <s v="Urban"/>
    <s v="IDP in Host Villages"/>
    <n v="9"/>
    <n v="30"/>
    <n v="40"/>
    <n v="40"/>
    <s v="1. Small"/>
    <m/>
    <m/>
    <x v="2"/>
    <s v="Not covered"/>
    <x v="1"/>
  </r>
  <r>
    <x v="17"/>
    <s v="MMR001CMP238"/>
    <s v="Cluster 10"/>
    <s v="Ndup Yang 1"/>
    <n v="97.745480999999998"/>
    <n v="26.569633"/>
    <s v="Camp"/>
    <s v="GCA"/>
    <s v="Rural"/>
    <s v="IDP in camps"/>
    <n v="161"/>
    <n v="711"/>
    <m/>
    <n v="711"/>
    <s v="2. Medium"/>
    <m/>
    <m/>
    <x v="2"/>
    <s v="Not covered"/>
    <x v="1"/>
  </r>
  <r>
    <x v="17"/>
    <s v="MMR001CMP239"/>
    <s v="Cluster 10"/>
    <s v="Ndup Yang 2"/>
    <n v="97.75609"/>
    <n v="26.548506"/>
    <s v="Camp"/>
    <s v="GCA"/>
    <s v="Rural"/>
    <s v="IDP in camps"/>
    <n v="98"/>
    <n v="489"/>
    <m/>
    <n v="489"/>
    <s v="2. Medium"/>
    <m/>
    <m/>
    <x v="2"/>
    <s v="Not covered"/>
    <x v="1"/>
  </r>
  <r>
    <x v="18"/>
    <s v="MMR001CMP113"/>
    <s v="Cluster 5"/>
    <s v="Border Post 8"/>
    <n v="97.915833000000006"/>
    <n v="25.220278"/>
    <s v="Camp"/>
    <s v="NGCA"/>
    <s v="Rural"/>
    <s v="IDP in camps"/>
    <n v="156"/>
    <n v="641"/>
    <n v="645"/>
    <n v="645"/>
    <s v="2. Medium"/>
    <s v="DFID"/>
    <s v="IRRC"/>
    <x v="3"/>
    <s v="Covered"/>
    <x v="2"/>
  </r>
  <r>
    <x v="18"/>
    <s v="MMR001CMP208"/>
    <s v="Cluster 5"/>
    <s v="Boys Boarding house, A Len Bum"/>
    <n v="97.541793999999996"/>
    <n v="24.752471"/>
    <s v="School"/>
    <s v="NGCA"/>
    <s v="Rural"/>
    <s v="Student in surrounding villages school"/>
    <m/>
    <n v="1049"/>
    <n v="405"/>
    <n v="644"/>
    <s v="1. Small"/>
    <s v="WHH"/>
    <s v="IRRC"/>
    <x v="2"/>
    <s v="Not covered"/>
    <x v="1"/>
  </r>
  <r>
    <x v="18"/>
    <s v="MMR001CMP208"/>
    <s v="Cluster 5"/>
    <s v="Girl Boarding house, A Len Bum"/>
    <n v="97.541793999999996"/>
    <n v="24.752471"/>
    <s v="School"/>
    <s v="NGCA"/>
    <s v="Rural"/>
    <s v="Student in surrounding villages school"/>
    <m/>
    <m/>
    <n v="391"/>
    <n v="391"/>
    <s v="1. Small"/>
    <s v="WHH"/>
    <s v="IRRC"/>
    <x v="2"/>
    <s v="Not covered"/>
    <x v="1"/>
  </r>
  <r>
    <x v="18"/>
    <s v="MMR001CMP028"/>
    <s v="Cluster 2"/>
    <s v="Hkat Cho "/>
    <n v="97.408302000000006"/>
    <n v="25.324567999999999"/>
    <s v="Camp"/>
    <s v="GCA"/>
    <s v="Sub-urban"/>
    <s v="IDP in camps"/>
    <n v="110"/>
    <n v="591"/>
    <n v="369"/>
    <n v="507"/>
    <s v="2. Medium"/>
    <s v="AusAid"/>
    <s v="Shalom"/>
    <x v="2"/>
    <s v="Not covered"/>
    <x v="1"/>
  </r>
  <r>
    <x v="18"/>
    <s v="MMR001CMP115"/>
    <s v="Cluster 5"/>
    <s v="Hkau Shau (BP 12)"/>
    <n v="97.807182999999995"/>
    <n v="25.200333000000001"/>
    <s v="Camp"/>
    <s v="NGCA"/>
    <s v="Rural"/>
    <s v="IDP in camps"/>
    <n v="169"/>
    <n v="1216"/>
    <n v="1212"/>
    <n v="1212"/>
    <s v="2. Medium"/>
    <s v="CIDA"/>
    <s v="KBC"/>
    <x v="2"/>
    <s v="Not covered"/>
    <x v="1"/>
  </r>
  <r>
    <x v="18"/>
    <s v="MMR001CMP027"/>
    <s v="Cluster 2"/>
    <s v="Mading Baptist Church"/>
    <n v="97.451965000000001"/>
    <n v="25.356632000000001"/>
    <s v="Camp"/>
    <s v="GCA"/>
    <s v="Sub-urban"/>
    <s v="IDP in camps"/>
    <n v="21"/>
    <n v="111"/>
    <n v="115"/>
    <n v="115"/>
    <s v="1. Small"/>
    <s v="CIDA"/>
    <s v="Shalom"/>
    <x v="2"/>
    <s v="Not covered"/>
    <x v="1"/>
  </r>
  <r>
    <x v="18"/>
    <s v="MMR001CMP119"/>
    <s v="Cluster 5"/>
    <s v="Maga Yang "/>
    <n v="97.715230000000005"/>
    <n v="24.980250000000002"/>
    <s v="Camp"/>
    <s v="NGCA"/>
    <s v="Rural"/>
    <s v="IDP in camps"/>
    <n v="609"/>
    <n v="2627"/>
    <n v="2619"/>
    <n v="2619"/>
    <s v="4. Big"/>
    <s v="CIDA"/>
    <s v="IRRC"/>
    <x v="2"/>
    <s v="Not covered"/>
    <x v="1"/>
  </r>
  <r>
    <x v="18"/>
    <s v="MMR001CMP031"/>
    <s v="Cluster 2"/>
    <s v="Maina AG Church"/>
    <n v="97.435233999999994"/>
    <n v="25.425276"/>
    <s v="Camp"/>
    <s v="GCA"/>
    <s v="Sub-urban"/>
    <s v="IDP in camps"/>
    <n v="135"/>
    <n v="724"/>
    <n v="462"/>
    <n v="738"/>
    <s v="2. Medium"/>
    <s v="AusAid"/>
    <s v="Shalom"/>
    <x v="2"/>
    <s v="Not covered"/>
    <x v="1"/>
  </r>
  <r>
    <x v="18"/>
    <s v="MMR001CMP029"/>
    <s v="Cluster 2"/>
    <s v="Maina Catholic Church (St. Joseph)"/>
    <n v="97.438450000000003"/>
    <n v="25.415900000000001"/>
    <s v="Camp"/>
    <s v="GCA"/>
    <s v="Sub-urban"/>
    <s v="IDP in camps"/>
    <n v="227"/>
    <n v="1212"/>
    <n v="1234"/>
    <n v="1234"/>
    <s v="2. Medium"/>
    <s v="DFID"/>
    <s v="KMSS"/>
    <x v="3"/>
    <s v="Covered"/>
    <x v="2"/>
  </r>
  <r>
    <x v="18"/>
    <s v="MMR001CMP040"/>
    <s v="Cluster 2"/>
    <s v="Maina KBC (Bawng Ring)"/>
    <n v="97.437434999999994"/>
    <n v="25.411413"/>
    <s v="Camp"/>
    <s v="GCA"/>
    <s v="Sub-urban"/>
    <s v="IDP in camps"/>
    <n v="429"/>
    <n v="2237"/>
    <n v="2071"/>
    <n v="2071"/>
    <s v="3. Large"/>
    <s v="CIDA"/>
    <s v="KBC"/>
    <x v="2"/>
    <s v="Not covered"/>
    <x v="1"/>
  </r>
  <r>
    <x v="18"/>
    <s v="MMR001CMP039"/>
    <s v="Cluster 2"/>
    <s v="Maina Lawang Baptist Church"/>
    <n v="97.426297000000005"/>
    <n v="25.409566000000002"/>
    <s v="Camp"/>
    <s v="GCA"/>
    <s v="Sub-urban"/>
    <s v="IDP in camps"/>
    <n v="45"/>
    <n v="193"/>
    <n v="173"/>
    <n v="173"/>
    <s v="1. Small"/>
    <s v="CIDA"/>
    <s v="KBC"/>
    <x v="2"/>
    <s v="Not covered"/>
    <x v="1"/>
  </r>
  <r>
    <x v="18"/>
    <s v="MMR001CMP033"/>
    <s v="Cluster 2"/>
    <s v="Nawng Hee Village"/>
    <n v="97.345039"/>
    <n v="25.351965"/>
    <s v="Camp"/>
    <s v="GCA"/>
    <s v="Rural"/>
    <s v="IDP in camps"/>
    <n v="18"/>
    <n v="77"/>
    <n v="49"/>
    <n v="80"/>
    <s v="1. Small"/>
    <s v="AusAid"/>
    <s v="Shalom"/>
    <x v="2"/>
    <s v="Not covered"/>
    <x v="1"/>
  </r>
  <r>
    <x v="18"/>
    <s v="MMR001CMP120"/>
    <s v="Cluster 5"/>
    <s v="Pajau / Jan Mai"/>
    <n v="97.751389000000003"/>
    <n v="24.831944"/>
    <s v="Camp"/>
    <s v="NGCA"/>
    <s v="Rural"/>
    <s v="IDP in camps"/>
    <n v="184"/>
    <n v="768"/>
    <n v="764"/>
    <n v="764"/>
    <s v="2. Medium"/>
    <s v="CIDA"/>
    <s v="KBC"/>
    <x v="2"/>
    <s v="Not covered"/>
    <x v="1"/>
  </r>
  <r>
    <x v="18"/>
    <s v="MMR001CMP160"/>
    <s v="Cluster 5"/>
    <s v="Post 6 Camp"/>
    <n v="97.990555999999998"/>
    <n v="25.265277999999999"/>
    <s v="Camp"/>
    <s v="NGCA"/>
    <s v="Rural"/>
    <s v="IDP in camps"/>
    <n v="110"/>
    <n v="643"/>
    <n v="640"/>
    <n v="640"/>
    <s v="2. Medium"/>
    <s v="DFID"/>
    <s v="IRRC"/>
    <x v="3"/>
    <s v="Covered"/>
    <x v="2"/>
  </r>
  <r>
    <x v="18"/>
    <s v="MMR001CMP032"/>
    <s v="Cluster 2"/>
    <s v="Qtr. 2 Lhaovo Baptist Church"/>
    <n v="97.441483000000005"/>
    <n v="25.354883999999998"/>
    <s v="Camp"/>
    <s v="GCA"/>
    <s v="Urban"/>
    <s v="IDP in camps"/>
    <n v="89"/>
    <n v="378"/>
    <n v="238"/>
    <n v="341"/>
    <s v="2. Medium"/>
    <s v="AusAid"/>
    <s v="Shalom"/>
    <x v="2"/>
    <s v="Not covered"/>
    <x v="1"/>
  </r>
  <r>
    <x v="18"/>
    <s v="MMR001CMP025"/>
    <s v="Cluster 2"/>
    <s v="Qtr. 2 Myoma Baptist Church"/>
    <n v="97.438271"/>
    <n v="25.351655000000001"/>
    <s v="Camp"/>
    <s v="GCA"/>
    <s v="Urban"/>
    <s v="IDP in camps"/>
    <n v="65"/>
    <n v="315"/>
    <n v="308"/>
    <n v="308"/>
    <s v="2. Medium"/>
    <s v="CIDA"/>
    <s v="KBC"/>
    <x v="2"/>
    <s v="Not covered"/>
    <x v="1"/>
  </r>
  <r>
    <x v="18"/>
    <s v="MMR001CMP030"/>
    <s v="Cluster 2"/>
    <s v="Qtr. 3 Mu-yin  Baptist Church"/>
    <n v="97.437568999999996"/>
    <n v="25.346004000000001"/>
    <s v="Camp"/>
    <s v="GCA"/>
    <s v="Urban"/>
    <s v="IDP in camps"/>
    <n v="31"/>
    <n v="153"/>
    <n v="130"/>
    <n v="172"/>
    <s v="1. Small"/>
    <s v="AusAid"/>
    <s v="Shalom"/>
    <x v="2"/>
    <s v="Not covered"/>
    <x v="1"/>
  </r>
  <r>
    <x v="18"/>
    <s v="MMR001CMP026"/>
    <s v="Cluster 2"/>
    <s v="Qtr. 4 Monestry (Thargaya Thayett Taw)"/>
    <n v="97.432495000000003"/>
    <n v="25.350809000000002"/>
    <s v="Camp"/>
    <s v="GCA"/>
    <s v="Urban"/>
    <s v="IDP in camps"/>
    <n v="89"/>
    <n v="552"/>
    <n v="424"/>
    <n v="473"/>
    <s v="2. Medium"/>
    <s v="AusAid"/>
    <s v="Shalom"/>
    <x v="2"/>
    <s v="Not covered"/>
    <x v="1"/>
  </r>
  <r>
    <x v="18"/>
    <s v="MMR001CMP041"/>
    <s v="Cluster 5"/>
    <s v="Shing Jai"/>
    <n v="98.025662999999994"/>
    <n v="25.418084"/>
    <s v="Camp"/>
    <s v="NGCA"/>
    <s v="Rural"/>
    <s v="IDP in camps"/>
    <n v="172"/>
    <n v="838"/>
    <n v="1011"/>
    <n v="1011"/>
    <s v="2. Medium"/>
    <s v="CIDA"/>
    <s v="KBC"/>
    <x v="2"/>
    <s v="Not covered"/>
    <x v="1"/>
  </r>
  <r>
    <x v="18"/>
    <s v="MMR001CMP037"/>
    <s v="Cluster 2"/>
    <s v="Thargaya Lisu Baptist Church"/>
    <n v="97.427959999999999"/>
    <n v="25.33351"/>
    <s v="Camp"/>
    <s v="GCA"/>
    <s v="Urban"/>
    <s v="IDP in camps"/>
    <n v="42"/>
    <n v="338"/>
    <n v="125"/>
    <n v="177"/>
    <s v="1. Small"/>
    <s v="AusAid"/>
    <s v="Shalom"/>
    <x v="2"/>
    <s v="Not covered"/>
    <x v="1"/>
  </r>
  <r>
    <x v="18"/>
    <s v="MMR001CMP038"/>
    <s v="Cluster 2"/>
    <s v="Waingmaw AG Church"/>
    <n v="97.443702000000002"/>
    <n v="25.351241999999999"/>
    <s v="Camp"/>
    <s v="GCA"/>
    <s v="Urban"/>
    <s v="IDP in camps"/>
    <n v="89"/>
    <n v="395"/>
    <n v="192"/>
    <n v="365"/>
    <s v="2. Medium"/>
    <s v="AusAid"/>
    <s v="Shalom"/>
    <x v="2"/>
    <s v="Not covered"/>
    <x v="1"/>
  </r>
  <r>
    <x v="18"/>
    <s v="MMR001CMP116"/>
    <s v="Cluster 5"/>
    <s v="Woi Chyai "/>
    <n v="97.567116999999996"/>
    <n v="24.768383"/>
    <s v="Camp"/>
    <s v="NGCA"/>
    <s v="Rural"/>
    <s v="IDP in camps"/>
    <n v="1337"/>
    <n v="6784"/>
    <n v="1534"/>
    <n v="1534"/>
    <s v="5. Massive"/>
    <s v="WHH / UNICEF"/>
    <s v="IRRC"/>
    <x v="1"/>
    <s v="Covered"/>
    <x v="0"/>
  </r>
  <r>
    <x v="18"/>
    <s v="MMR001CMP116"/>
    <s v="Cluster 5"/>
    <s v="Woi Chyai  host families"/>
    <n v="97.567116999999996"/>
    <n v="24.768383"/>
    <s v="Village"/>
    <s v="NGCA"/>
    <s v="Rural"/>
    <s v="IDP in Host Villages"/>
    <m/>
    <m/>
    <n v="3541"/>
    <n v="3541"/>
    <s v="1. Small"/>
    <s v="WHH / UNICEF"/>
    <s v="IRRC"/>
    <x v="1"/>
    <s v="Covered"/>
    <x v="0"/>
  </r>
  <r>
    <x v="18"/>
    <s v="MMR001CMP116"/>
    <s v="Cluster 5"/>
    <s v="Woi Chyai (Mong Lai)"/>
    <m/>
    <m/>
    <s v="Camp"/>
    <s v="NGCA"/>
    <s v="Rural"/>
    <s v="IDP in camps"/>
    <m/>
    <m/>
    <n v="218"/>
    <n v="218"/>
    <s v="1. Small"/>
    <s v="WHH / UNICEF"/>
    <s v="IRRC"/>
    <x v="1"/>
    <s v="Covered"/>
    <x v="0"/>
  </r>
  <r>
    <x v="18"/>
    <s v="MMR001CMP111"/>
    <s v="Cluster 5"/>
    <s v="Zai Awng / Mung Ga Zup"/>
    <n v="97.756789999999995"/>
    <n v="25.106670000000001"/>
    <s v="Camp"/>
    <s v="NGCA"/>
    <s v="Rural"/>
    <s v="IDP in camps"/>
    <n v="640"/>
    <n v="2600"/>
    <n v="2586"/>
    <n v="2586"/>
    <s v="4. Big"/>
    <s v="CIDA"/>
    <s v="KBC"/>
    <x v="2"/>
    <s v="Not covered"/>
    <x v="1"/>
  </r>
  <r>
    <x v="19"/>
    <m/>
    <m/>
    <m/>
    <m/>
    <m/>
    <m/>
    <m/>
    <m/>
    <m/>
    <m/>
    <m/>
    <m/>
    <m/>
    <m/>
    <m/>
    <m/>
    <x v="8"/>
    <m/>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B13:E16" firstHeaderRow="0" firstDataRow="1" firstDataCol="1" rowPageCount="3" colPageCount="1"/>
  <pivotFields count="103">
    <pivotField showAll="0"/>
    <pivotField showAll="0"/>
    <pivotField axis="axisPage" showAll="0">
      <items count="11">
        <item x="2"/>
        <item x="1"/>
        <item x="9"/>
        <item x="7"/>
        <item x="0"/>
        <item x="8"/>
        <item x="4"/>
        <item x="5"/>
        <item x="3"/>
        <item x="6"/>
        <item t="default"/>
      </items>
    </pivotField>
    <pivotField showAll="0"/>
    <pivotField showAll="0"/>
    <pivotField showAll="0"/>
    <pivotField axis="axisPage" multipleItemSelectionAllowed="1" showAll="0">
      <items count="5">
        <item x="0"/>
        <item h="1" x="2"/>
        <item h="1" x="1"/>
        <item h="1"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3">
    <pageField fld="6" hier="-1"/>
    <pageField fld="2" hier="-1"/>
    <pageField fld="21" hier="-1"/>
  </pageFields>
  <dataFields count="3">
    <dataField name="% Water coverage" fld="93" baseField="0" baseItem="0" numFmtId="1"/>
    <dataField name="% Latrine coverage" fld="94" baseField="0" baseItem="0" numFmtId="1"/>
    <dataField name="% Bathroom coverage" fld="95" baseField="0" baseItem="0" numFmtId="1"/>
  </dataFields>
  <formats count="12">
    <format dxfId="108">
      <pivotArea outline="0" collapsedLevelsAreSubtotals="1" fieldPosition="0"/>
    </format>
    <format dxfId="107">
      <pivotArea field="7" type="button" dataOnly="0" labelOnly="1" outline="0" axis="axisRow" fieldPosition="0"/>
    </format>
    <format dxfId="106">
      <pivotArea dataOnly="0" labelOnly="1" outline="0" fieldPosition="0">
        <references count="1">
          <reference field="4294967294" count="3">
            <x v="0"/>
            <x v="1"/>
            <x v="2"/>
          </reference>
        </references>
      </pivotArea>
    </format>
    <format dxfId="105">
      <pivotArea type="all" dataOnly="0" outline="0" fieldPosition="0"/>
    </format>
    <format dxfId="104">
      <pivotArea outline="0" collapsedLevelsAreSubtotals="1" fieldPosition="0"/>
    </format>
    <format dxfId="103">
      <pivotArea field="7" type="button" dataOnly="0" labelOnly="1" outline="0" axis="axisRow" fieldPosition="0"/>
    </format>
    <format dxfId="102">
      <pivotArea dataOnly="0" labelOnly="1" fieldPosition="0">
        <references count="1">
          <reference field="7" count="0"/>
        </references>
      </pivotArea>
    </format>
    <format dxfId="101">
      <pivotArea dataOnly="0" labelOnly="1" grandRow="1" outline="0" fieldPosition="0"/>
    </format>
    <format dxfId="100">
      <pivotArea dataOnly="0" labelOnly="1" outline="0" fieldPosition="0">
        <references count="1">
          <reference field="4294967294" count="3">
            <x v="0"/>
            <x v="1"/>
            <x v="2"/>
          </reference>
        </references>
      </pivotArea>
    </format>
    <format dxfId="99">
      <pivotArea field="7" type="button" dataOnly="0" labelOnly="1" outline="0" axis="axisRow" fieldPosition="0"/>
    </format>
    <format dxfId="98">
      <pivotArea dataOnly="0" labelOnly="1" outline="0" fieldPosition="0">
        <references count="1">
          <reference field="4294967294" count="3">
            <x v="0"/>
            <x v="1"/>
            <x v="2"/>
          </reference>
        </references>
      </pivotArea>
    </format>
    <format dxfId="97">
      <pivotArea outline="0" collapsedLevelsAreSubtotals="1" fieldPosition="0"/>
    </format>
  </format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2" format="6"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1"/>
          </reference>
        </references>
      </pivotArea>
    </chartFormat>
    <chartFormat chart="12" format="8" series="1">
      <pivotArea type="data" outline="0" fieldPosition="0">
        <references count="1">
          <reference field="4294967294" count="1" selected="0">
            <x v="2"/>
          </reference>
        </references>
      </pivotArea>
    </chartFormat>
    <chartFormat chart="14" format="10" series="1">
      <pivotArea type="data" outline="0" fieldPosition="0">
        <references count="1">
          <reference field="4294967294" count="1" selected="0">
            <x v="0"/>
          </reference>
        </references>
      </pivotArea>
    </chartFormat>
    <chartFormat chart="14" format="11" series="1">
      <pivotArea type="data" outline="0" fieldPosition="0">
        <references count="1">
          <reference field="4294967294" count="1" selected="0">
            <x v="1"/>
          </reference>
        </references>
      </pivotArea>
    </chartFormat>
    <chartFormat chart="14" format="12" series="1">
      <pivotArea type="data" outline="0" fieldPosition="0">
        <references count="1">
          <reference field="4294967294" count="1" selected="0">
            <x v="2"/>
          </reference>
        </references>
      </pivotArea>
    </chartFormat>
    <chartFormat chart="16" format="2" series="1">
      <pivotArea type="data" outline="0" fieldPosition="0">
        <references count="1">
          <reference field="4294967294" count="1" selected="0">
            <x v="2"/>
          </reference>
        </references>
      </pivotArea>
    </chartFormat>
    <chartFormat chart="16" format="3" series="1">
      <pivotArea type="data" outline="0" fieldPosition="0">
        <references count="1">
          <reference field="4294967294" count="1" selected="0">
            <x v="0"/>
          </reference>
        </references>
      </pivotArea>
    </chartFormat>
    <chartFormat chart="16" format="4"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5"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8"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63:E74" firstHeaderRow="0" firstDataRow="1" firstDataCol="1" rowPageCount="3" colPageCount="1"/>
  <pivotFields count="103">
    <pivotField showAll="0"/>
    <pivotField showAll="0"/>
    <pivotField axis="axisRow" showAll="0">
      <items count="11">
        <item x="2"/>
        <item x="1"/>
        <item x="9"/>
        <item x="7"/>
        <item x="0"/>
        <item x="8"/>
        <item x="4"/>
        <item x="5"/>
        <item x="3"/>
        <item x="6"/>
        <item t="default"/>
      </items>
    </pivotField>
    <pivotField showAll="0"/>
    <pivotField showAll="0"/>
    <pivotField showAll="0"/>
    <pivotField axis="axisPage" multipleItemSelectionAllowed="1" showAll="0">
      <items count="5">
        <item x="0"/>
        <item h="1" x="2"/>
        <item h="1" x="1"/>
        <item h="1"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3">
    <i>
      <x/>
    </i>
    <i i="1">
      <x v="1"/>
    </i>
    <i i="2">
      <x v="2"/>
    </i>
  </colItems>
  <pageFields count="3">
    <pageField fld="6" hier="-1"/>
    <pageField fld="7" hier="-1"/>
    <pageField fld="21" hier="-1"/>
  </pageFields>
  <dataFields count="3">
    <dataField name="% Water Need coverage" fld="93" baseField="0" baseItem="0" numFmtId="1"/>
    <dataField name="% Latrine need coverage" fld="94" baseField="0" baseItem="0" numFmtId="1"/>
    <dataField name="% Bathroom need coverage" fld="95" baseField="0" baseItem="0" numFmtId="1"/>
  </dataFields>
  <formats count="5">
    <format dxfId="160">
      <pivotArea outline="0" collapsedLevelsAreSubtotals="1" fieldPosition="0"/>
    </format>
    <format dxfId="159">
      <pivotArea field="2" type="button" dataOnly="0" labelOnly="1" outline="0" axis="axisRow" fieldPosition="0"/>
    </format>
    <format dxfId="158">
      <pivotArea dataOnly="0" labelOnly="1" outline="0" fieldPosition="0">
        <references count="1">
          <reference field="4294967294" count="3">
            <x v="0"/>
            <x v="1"/>
            <x v="2"/>
          </reference>
        </references>
      </pivotArea>
    </format>
    <format dxfId="157">
      <pivotArea outline="0" collapsedLevelsAreSubtotals="1" fieldPosition="0"/>
    </format>
    <format dxfId="156">
      <pivotArea dataOnly="0" labelOnly="1"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0"/>
          </reference>
        </references>
      </pivotArea>
    </chartFormat>
    <chartFormat chart="2" format="19" series="1">
      <pivotArea type="data" outline="0" fieldPosition="0">
        <references count="1">
          <reference field="4294967294" count="1" selected="0">
            <x v="1"/>
          </reference>
        </references>
      </pivotArea>
    </chartFormat>
    <chartFormat chart="2" format="20" series="1">
      <pivotArea type="data" outline="0" fieldPosition="0">
        <references count="1">
          <reference field="4294967294" count="1" selected="0">
            <x v="2"/>
          </reference>
        </references>
      </pivotArea>
    </chartFormat>
    <chartFormat chart="5" format="24" series="1">
      <pivotArea type="data" outline="0" fieldPosition="0">
        <references count="1">
          <reference field="4294967294" count="1" selected="0">
            <x v="0"/>
          </reference>
        </references>
      </pivotArea>
    </chartFormat>
    <chartFormat chart="5" format="25" series="1">
      <pivotArea type="data" outline="0" fieldPosition="0">
        <references count="1">
          <reference field="4294967294" count="1" selected="0">
            <x v="1"/>
          </reference>
        </references>
      </pivotArea>
    </chartFormat>
    <chartFormat chart="5" format="2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5"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1">
  <location ref="B194:E215" firstHeaderRow="1" firstDataRow="2" firstDataCol="1" rowPageCount="3" colPageCount="1"/>
  <pivotFields count="103">
    <pivotField axis="axisRow" showAll="0">
      <items count="21">
        <item x="0"/>
        <item x="1"/>
        <item x="2"/>
        <item x="4"/>
        <item x="5"/>
        <item m="1" x="19"/>
        <item x="6"/>
        <item x="7"/>
        <item x="8"/>
        <item x="9"/>
        <item x="10"/>
        <item x="11"/>
        <item x="12"/>
        <item x="13"/>
        <item x="14"/>
        <item x="15"/>
        <item x="16"/>
        <item x="17"/>
        <item x="18"/>
        <item x="3"/>
        <item t="default"/>
      </items>
    </pivotField>
    <pivotField showAll="0"/>
    <pivotField showAll="0"/>
    <pivotField showAll="0"/>
    <pivotField showAll="0"/>
    <pivotField showAll="0"/>
    <pivotField axis="axisPage" multipleItemSelectionAllowed="1" showAll="0">
      <items count="5">
        <item x="0"/>
        <item x="2"/>
        <item x="1"/>
        <item m="1" x="3"/>
        <item t="default"/>
      </items>
    </pivotField>
    <pivotField axis="axisCol"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multipleItemSelectionAllowed="1"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axis="axisPage" multipleItemSelectionAllowed="1" showAll="0" defaultSubtotal="0">
      <items count="7">
        <item h="1" m="1" x="5"/>
        <item m="1" x="6"/>
        <item x="2"/>
        <item x="0"/>
        <item x="1"/>
        <item x="3"/>
        <item h="1" x="4"/>
      </items>
    </pivotField>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6"/>
    </i>
    <i>
      <x v="7"/>
    </i>
    <i>
      <x v="8"/>
    </i>
    <i>
      <x v="9"/>
    </i>
    <i>
      <x v="10"/>
    </i>
    <i>
      <x v="11"/>
    </i>
    <i>
      <x v="12"/>
    </i>
    <i>
      <x v="13"/>
    </i>
    <i>
      <x v="14"/>
    </i>
    <i>
      <x v="15"/>
    </i>
    <i>
      <x v="16"/>
    </i>
    <i>
      <x v="17"/>
    </i>
    <i>
      <x v="18"/>
    </i>
    <i>
      <x v="19"/>
    </i>
    <i t="grand">
      <x/>
    </i>
  </rowItems>
  <colFields count="1">
    <field x="7"/>
  </colFields>
  <colItems count="3">
    <i>
      <x/>
    </i>
    <i>
      <x v="1"/>
    </i>
    <i t="grand">
      <x/>
    </i>
  </colItems>
  <pageFields count="3">
    <pageField fld="6" hier="-1"/>
    <pageField fld="21" hier="-1"/>
    <pageField fld="51" hier="-1"/>
  </pageFields>
  <dataFields count="1">
    <dataField name="Sum of # Semi permanent latrines missing" fld="62" baseField="0" baseItem="0" numFmtId="1"/>
  </dataFields>
  <formats count="4">
    <format dxfId="164">
      <pivotArea outline="0" collapsedLevelsAreSubtotals="1" fieldPosition="0"/>
    </format>
    <format dxfId="163">
      <pivotArea outline="0" collapsedLevelsAreSubtotals="1" fieldPosition="0"/>
    </format>
    <format dxfId="162">
      <pivotArea dataOnly="0" labelOnly="1" fieldPosition="0">
        <references count="1">
          <reference field="7" count="0"/>
        </references>
      </pivotArea>
    </format>
    <format dxfId="161">
      <pivotArea dataOnly="0" labelOnly="1" grandCol="1" outline="0" fieldPosition="0"/>
    </format>
  </formats>
  <chartFormats count="16">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2" format="2" series="1">
      <pivotArea type="data" outline="0" fieldPosition="0">
        <references count="2">
          <reference field="4294967294" count="1" selected="0">
            <x v="0"/>
          </reference>
          <reference field="7" count="1" selected="0">
            <x v="0"/>
          </reference>
        </references>
      </pivotArea>
    </chartFormat>
    <chartFormat chart="12" format="3" series="1">
      <pivotArea type="data" outline="0" fieldPosition="0">
        <references count="2">
          <reference field="4294967294" count="1" selected="0">
            <x v="0"/>
          </reference>
          <reference field="7" count="1" selected="0">
            <x v="1"/>
          </reference>
        </references>
      </pivotArea>
    </chartFormat>
    <chartFormat chart="13" format="4" series="1">
      <pivotArea type="data" outline="0" fieldPosition="0">
        <references count="2">
          <reference field="4294967294" count="1" selected="0">
            <x v="0"/>
          </reference>
          <reference field="7" count="1" selected="0">
            <x v="0"/>
          </reference>
        </references>
      </pivotArea>
    </chartFormat>
    <chartFormat chart="13" format="5" series="1">
      <pivotArea type="data" outline="0" fieldPosition="0">
        <references count="2">
          <reference field="4294967294" count="1" selected="0">
            <x v="0"/>
          </reference>
          <reference field="7" count="1" selected="0">
            <x v="1"/>
          </reference>
        </references>
      </pivotArea>
    </chartFormat>
    <chartFormat chart="14" format="2" series="1">
      <pivotArea type="data" outline="0" fieldPosition="0">
        <references count="2">
          <reference field="4294967294" count="1" selected="0">
            <x v="0"/>
          </reference>
          <reference field="7" count="1" selected="0">
            <x v="0"/>
          </reference>
        </references>
      </pivotArea>
    </chartFormat>
    <chartFormat chart="14" format="3" series="1">
      <pivotArea type="data" outline="0" fieldPosition="0">
        <references count="2">
          <reference field="4294967294" count="1" selected="0">
            <x v="0"/>
          </reference>
          <reference field="7" count="1" selected="0">
            <x v="1"/>
          </reference>
        </references>
      </pivotArea>
    </chartFormat>
    <chartFormat chart="16" format="0" series="1">
      <pivotArea type="data" outline="0" fieldPosition="0">
        <references count="2">
          <reference field="4294967294" count="1" selected="0">
            <x v="0"/>
          </reference>
          <reference field="7" count="1" selected="0">
            <x v="0"/>
          </reference>
        </references>
      </pivotArea>
    </chartFormat>
    <chartFormat chart="16" format="1" series="1">
      <pivotArea type="data" outline="0" fieldPosition="0">
        <references count="2">
          <reference field="4294967294" count="1" selected="0">
            <x v="0"/>
          </reference>
          <reference field="7" count="1" selected="0">
            <x v="1"/>
          </reference>
        </references>
      </pivotArea>
    </chartFormat>
    <chartFormat chart="20" format="4" series="1">
      <pivotArea type="data" outline="0" fieldPosition="0">
        <references count="2">
          <reference field="4294967294" count="1" selected="0">
            <x v="0"/>
          </reference>
          <reference field="7" count="1" selected="0">
            <x v="0"/>
          </reference>
        </references>
      </pivotArea>
    </chartFormat>
    <chartFormat chart="20" format="5" series="1">
      <pivotArea type="data" outline="0" fieldPosition="0">
        <references count="2">
          <reference field="4294967294" count="1" selected="0">
            <x v="0"/>
          </reference>
          <reference field="7" count="1" selected="0">
            <x v="1"/>
          </reference>
        </references>
      </pivotArea>
    </chartFormat>
    <chartFormat chart="20" format="6" series="1">
      <pivotArea type="data" outline="0" fieldPosition="0">
        <references count="2">
          <reference field="4294967294" count="1" selected="0">
            <x v="0"/>
          </reference>
          <reference field="7" count="1" selected="0">
            <x v="2"/>
          </reference>
        </references>
      </pivotArea>
    </chartFormat>
    <chartFormat chart="16" format="2" series="1">
      <pivotArea type="data" outline="0" fieldPosition="0">
        <references count="2">
          <reference field="4294967294" count="1" selected="0">
            <x v="0"/>
          </reference>
          <reference field="7" count="1" selected="0">
            <x v="2"/>
          </reference>
        </references>
      </pivotArea>
    </chartFormat>
    <chartFormat chart="20" format="7" series="1">
      <pivotArea type="data" outline="0" fieldPosition="0">
        <references count="1">
          <reference field="4294967294" count="1" selected="0">
            <x v="0"/>
          </reference>
        </references>
      </pivotArea>
    </chartFormat>
    <chartFormat chart="1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4">
  <location ref="B748:D753" firstHeaderRow="0" firstDataRow="1" firstDataCol="1" rowPageCount="2" colPageCount="1"/>
  <pivotFields count="103">
    <pivotField showAll="0"/>
    <pivotField showAll="0"/>
    <pivotField showAll="0"/>
    <pivotField showAll="0"/>
    <pivotField showAll="0"/>
    <pivotField showAll="0"/>
    <pivotField multipleItemSelectionAllowed="1" showAll="0"/>
    <pivotField axis="axisPage" showAll="0">
      <items count="4">
        <item x="0"/>
        <item x="1"/>
        <item m="1" x="2"/>
        <item t="default"/>
      </items>
    </pivotField>
    <pivotField showAll="0" defaultSubtotal="0"/>
    <pivotField axis="axisRow" showAll="0" defaultSubtotal="0">
      <items count="5">
        <item x="0"/>
        <item x="1"/>
        <item x="3"/>
        <item x="2"/>
        <item m="1" x="4"/>
      </items>
    </pivotField>
    <pivotField showAll="0"/>
    <pivotField showAll="0"/>
    <pivotField dataField="1" showAll="0" defaultSubtotal="0"/>
    <pivotField dataField="1"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items count="16">
        <item m="1" x="4"/>
        <item m="1" x="9"/>
        <item x="0"/>
        <item m="1" x="8"/>
        <item m="1" x="6"/>
        <item m="1" x="13"/>
        <item m="1" x="10"/>
        <item m="1" x="7"/>
        <item m="1" x="11"/>
        <item m="1" x="12"/>
        <item m="1" x="14"/>
        <item x="1"/>
        <item x="2"/>
        <item x="3"/>
        <item m="1" x="5"/>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i>
    <i>
      <x v="1"/>
    </i>
    <i>
      <x v="2"/>
    </i>
    <i>
      <x v="3"/>
    </i>
    <i t="grand">
      <x/>
    </i>
  </rowItems>
  <colFields count="1">
    <field x="-2"/>
  </colFields>
  <colItems count="2">
    <i>
      <x/>
    </i>
    <i i="1">
      <x v="1"/>
    </i>
  </colItems>
  <pageFields count="2">
    <pageField fld="7" hier="-1"/>
    <pageField fld="21" hier="-1"/>
  </pageFields>
  <dataFields count="2">
    <dataField name="Sum of Total PoP" fld="13" baseField="9" baseItem="0" numFmtId="1"/>
    <dataField name="Sum of IDP population observed by Wash Cluster living in the camp" fld="12" baseField="0" baseItem="0"/>
  </dataFields>
  <formats count="5">
    <format dxfId="169">
      <pivotArea outline="0" collapsedLevelsAreSubtotals="1" fieldPosition="0"/>
    </format>
    <format dxfId="168">
      <pivotArea outline="0" collapsedLevelsAreSubtotals="1" fieldPosition="0"/>
    </format>
    <format dxfId="167">
      <pivotArea field="91" type="button" dataOnly="0" labelOnly="1" outline="0"/>
    </format>
    <format dxfId="166">
      <pivotArea dataOnly="0" labelOnly="1" outline="0" axis="axisValues" fieldPosition="0"/>
    </format>
    <format dxfId="165">
      <pivotArea outline="0" collapsedLevelsAreSubtotals="1" fieldPosition="0"/>
    </format>
  </formats>
  <chartFormats count="24">
    <chartFormat chart="36" format="0" series="1">
      <pivotArea type="data" outline="0" fieldPosition="0">
        <references count="1">
          <reference field="4294967294" count="1" selected="0">
            <x v="0"/>
          </reference>
        </references>
      </pivotArea>
    </chartFormat>
    <chartFormat chart="36" format="1" series="1">
      <pivotArea type="data" outline="0" fieldPosition="0">
        <references count="1">
          <reference field="4294967294" count="1" selected="0">
            <x v="1"/>
          </reference>
        </references>
      </pivotArea>
    </chartFormat>
    <chartFormat chart="38" format="0" series="1">
      <pivotArea type="data" outline="0" fieldPosition="0">
        <references count="1">
          <reference field="4294967294" count="1" selected="0">
            <x v="0"/>
          </reference>
        </references>
      </pivotArea>
    </chartFormat>
    <chartFormat chart="38" format="1" series="1">
      <pivotArea type="data" outline="0" fieldPosition="0">
        <references count="1">
          <reference field="4294967294" count="1" selected="0">
            <x v="1"/>
          </reference>
        </references>
      </pivotArea>
    </chartFormat>
    <chartFormat chart="43" format="12" series="1">
      <pivotArea type="data" outline="0" fieldPosition="0">
        <references count="1">
          <reference field="4294967294" count="1" selected="0">
            <x v="0"/>
          </reference>
        </references>
      </pivotArea>
    </chartFormat>
    <chartFormat chart="43" format="13">
      <pivotArea type="data" outline="0" fieldPosition="0">
        <references count="2">
          <reference field="4294967294" count="1" selected="0">
            <x v="0"/>
          </reference>
          <reference field="9" count="1" selected="0">
            <x v="0"/>
          </reference>
        </references>
      </pivotArea>
    </chartFormat>
    <chartFormat chart="43" format="14">
      <pivotArea type="data" outline="0" fieldPosition="0">
        <references count="2">
          <reference field="4294967294" count="1" selected="0">
            <x v="0"/>
          </reference>
          <reference field="9" count="1" selected="0">
            <x v="1"/>
          </reference>
        </references>
      </pivotArea>
    </chartFormat>
    <chartFormat chart="43" format="15">
      <pivotArea type="data" outline="0" fieldPosition="0">
        <references count="2">
          <reference field="4294967294" count="1" selected="0">
            <x v="0"/>
          </reference>
          <reference field="9" count="1" selected="0">
            <x v="2"/>
          </reference>
        </references>
      </pivotArea>
    </chartFormat>
    <chartFormat chart="43" format="16">
      <pivotArea type="data" outline="0" fieldPosition="0">
        <references count="2">
          <reference field="4294967294" count="1" selected="0">
            <x v="0"/>
          </reference>
          <reference field="9" count="1" selected="0">
            <x v="3"/>
          </reference>
        </references>
      </pivotArea>
    </chartFormat>
    <chartFormat chart="43" format="17" series="1">
      <pivotArea type="data" outline="0" fieldPosition="0">
        <references count="1">
          <reference field="4294967294" count="1" selected="0">
            <x v="1"/>
          </reference>
        </references>
      </pivotArea>
    </chartFormat>
    <chartFormat chart="43" format="18">
      <pivotArea type="data" outline="0" fieldPosition="0">
        <references count="2">
          <reference field="4294967294" count="1" selected="0">
            <x v="1"/>
          </reference>
          <reference field="9" count="1" selected="0">
            <x v="0"/>
          </reference>
        </references>
      </pivotArea>
    </chartFormat>
    <chartFormat chart="43" format="19">
      <pivotArea type="data" outline="0" fieldPosition="0">
        <references count="2">
          <reference field="4294967294" count="1" selected="0">
            <x v="1"/>
          </reference>
          <reference field="9" count="1" selected="0">
            <x v="1"/>
          </reference>
        </references>
      </pivotArea>
    </chartFormat>
    <chartFormat chart="43" format="20">
      <pivotArea type="data" outline="0" fieldPosition="0">
        <references count="2">
          <reference field="4294967294" count="1" selected="0">
            <x v="1"/>
          </reference>
          <reference field="9" count="1" selected="0">
            <x v="2"/>
          </reference>
        </references>
      </pivotArea>
    </chartFormat>
    <chartFormat chart="43" format="21">
      <pivotArea type="data" outline="0" fieldPosition="0">
        <references count="2">
          <reference field="4294967294" count="1" selected="0">
            <x v="1"/>
          </reference>
          <reference field="9" count="1" selected="0">
            <x v="3"/>
          </reference>
        </references>
      </pivotArea>
    </chartFormat>
    <chartFormat chart="38" format="2">
      <pivotArea type="data" outline="0" fieldPosition="0">
        <references count="2">
          <reference field="4294967294" count="1" selected="0">
            <x v="0"/>
          </reference>
          <reference field="9" count="1" selected="0">
            <x v="0"/>
          </reference>
        </references>
      </pivotArea>
    </chartFormat>
    <chartFormat chart="38" format="3">
      <pivotArea type="data" outline="0" fieldPosition="0">
        <references count="2">
          <reference field="4294967294" count="1" selected="0">
            <x v="0"/>
          </reference>
          <reference field="9" count="1" selected="0">
            <x v="1"/>
          </reference>
        </references>
      </pivotArea>
    </chartFormat>
    <chartFormat chart="38" format="4">
      <pivotArea type="data" outline="0" fieldPosition="0">
        <references count="2">
          <reference field="4294967294" count="1" selected="0">
            <x v="0"/>
          </reference>
          <reference field="9" count="1" selected="0">
            <x v="2"/>
          </reference>
        </references>
      </pivotArea>
    </chartFormat>
    <chartFormat chart="38" format="5">
      <pivotArea type="data" outline="0" fieldPosition="0">
        <references count="2">
          <reference field="4294967294" count="1" selected="0">
            <x v="0"/>
          </reference>
          <reference field="9" count="1" selected="0">
            <x v="3"/>
          </reference>
        </references>
      </pivotArea>
    </chartFormat>
    <chartFormat chart="38" format="6">
      <pivotArea type="data" outline="0" fieldPosition="0">
        <references count="2">
          <reference field="4294967294" count="1" selected="0">
            <x v="1"/>
          </reference>
          <reference field="9" count="1" selected="0">
            <x v="0"/>
          </reference>
        </references>
      </pivotArea>
    </chartFormat>
    <chartFormat chart="38" format="7">
      <pivotArea type="data" outline="0" fieldPosition="0">
        <references count="2">
          <reference field="4294967294" count="1" selected="0">
            <x v="1"/>
          </reference>
          <reference field="9" count="1" selected="0">
            <x v="1"/>
          </reference>
        </references>
      </pivotArea>
    </chartFormat>
    <chartFormat chart="38" format="8">
      <pivotArea type="data" outline="0" fieldPosition="0">
        <references count="2">
          <reference field="4294967294" count="1" selected="0">
            <x v="1"/>
          </reference>
          <reference field="9" count="1" selected="0">
            <x v="2"/>
          </reference>
        </references>
      </pivotArea>
    </chartFormat>
    <chartFormat chart="38" format="9">
      <pivotArea type="data" outline="0" fieldPosition="0">
        <references count="2">
          <reference field="4294967294" count="1" selected="0">
            <x v="1"/>
          </reference>
          <reference field="9" count="1" selected="0">
            <x v="3"/>
          </reference>
        </references>
      </pivotArea>
    </chartFormat>
    <chartFormat chart="38" format="10">
      <pivotArea type="data" outline="0" fieldPosition="0">
        <references count="2">
          <reference field="4294967294" count="1" selected="0">
            <x v="0"/>
          </reference>
          <reference field="9" count="1" selected="0">
            <x v="4"/>
          </reference>
        </references>
      </pivotArea>
    </chartFormat>
    <chartFormat chart="38" format="11">
      <pivotArea type="data" outline="0" fieldPosition="0">
        <references count="2">
          <reference field="4294967294" count="1" selected="0">
            <x v="1"/>
          </reference>
          <reference field="9"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1"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565:E569" firstHeaderRow="1" firstDataRow="2" firstDataCol="1" rowPageCount="1" colPageCount="1"/>
  <pivotFields count="103">
    <pivotField showAll="0"/>
    <pivotField showAll="0"/>
    <pivotField showAll="0"/>
    <pivotField showAll="0"/>
    <pivotField showAll="0"/>
    <pivotField showAll="0"/>
    <pivotField axis="axisPage" multipleItemSelectionAllowed="1" showAll="0">
      <items count="5">
        <item x="0"/>
        <item h="1" x="2"/>
        <item x="1"/>
        <item h="1"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axis="axisCol" dataField="1" showAll="0" defaultSubtotal="0">
      <items count="2">
        <item x="0"/>
        <item x="1"/>
      </items>
    </pivotField>
    <pivotField showAll="0" defaultSubtotal="0"/>
    <pivotField showAll="0"/>
    <pivotField showAll="0" defaultSubtotal="0"/>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8"/>
  </colFields>
  <colItems count="3">
    <i>
      <x/>
    </i>
    <i>
      <x v="1"/>
    </i>
    <i t="grand">
      <x/>
    </i>
  </colItems>
  <pageFields count="1">
    <pageField fld="6" hier="-1"/>
  </pageFields>
  <dataFields count="1">
    <dataField name="Count of Targetted" fld="18" subtotal="count" baseField="0" baseItem="0" numFmtId="1"/>
  </dataFields>
  <formats count="3">
    <format dxfId="172">
      <pivotArea outline="0" collapsedLevelsAreSubtotals="1" fieldPosition="0"/>
    </format>
    <format dxfId="171">
      <pivotArea outline="0" collapsedLevelsAreSubtotals="1" fieldPosition="0"/>
    </format>
    <format dxfId="170">
      <pivotArea outline="0" fieldPosition="0">
        <references count="1">
          <reference field="4294967294" count="1">
            <x v="0"/>
          </reference>
        </references>
      </pivotArea>
    </format>
  </formats>
  <chartFormats count="6">
    <chartFormat chart="38" format="0" series="1">
      <pivotArea type="data" outline="0" fieldPosition="0">
        <references count="2">
          <reference field="4294967294" count="1" selected="0">
            <x v="0"/>
          </reference>
          <reference field="18" count="1" selected="0">
            <x v="0"/>
          </reference>
        </references>
      </pivotArea>
    </chartFormat>
    <chartFormat chart="38" format="1" series="1">
      <pivotArea type="data" outline="0" fieldPosition="0">
        <references count="2">
          <reference field="4294967294" count="1" selected="0">
            <x v="0"/>
          </reference>
          <reference field="18" count="1" selected="0">
            <x v="1"/>
          </reference>
        </references>
      </pivotArea>
    </chartFormat>
    <chartFormat chart="40" format="2" series="1">
      <pivotArea type="data" outline="0" fieldPosition="0">
        <references count="2">
          <reference field="4294967294" count="1" selected="0">
            <x v="0"/>
          </reference>
          <reference field="18" count="1" selected="0">
            <x v="0"/>
          </reference>
        </references>
      </pivotArea>
    </chartFormat>
    <chartFormat chart="40" format="3" series="1">
      <pivotArea type="data" outline="0" fieldPosition="0">
        <references count="2">
          <reference field="4294967294" count="1" selected="0">
            <x v="0"/>
          </reference>
          <reference field="18" count="1" selected="0">
            <x v="1"/>
          </reference>
        </references>
      </pivotArea>
    </chartFormat>
    <chartFormat chart="41" format="4" series="1">
      <pivotArea type="data" outline="0" fieldPosition="0">
        <references count="2">
          <reference field="4294967294" count="1" selected="0">
            <x v="0"/>
          </reference>
          <reference field="18" count="1" selected="0">
            <x v="0"/>
          </reference>
        </references>
      </pivotArea>
    </chartFormat>
    <chartFormat chart="41" format="5" series="1">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27"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40:C445" firstHeaderRow="1" firstDataRow="1" firstDataCol="1" rowPageCount="3" colPageCount="1"/>
  <pivotFields count="103">
    <pivotField showAll="0"/>
    <pivotField showAll="0"/>
    <pivotField showAll="0"/>
    <pivotField showAll="0"/>
    <pivotField showAll="0"/>
    <pivotField showAll="0"/>
    <pivotField axis="axisPage" multipleItemSelectionAllowed="1" showAll="0">
      <items count="5">
        <item x="0"/>
        <item h="1" x="2"/>
        <item h="1" x="1"/>
        <item h="1"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axis="axisRow" dataField="1" showAll="0">
      <items count="8">
        <item x="0"/>
        <item x="1"/>
        <item x="2"/>
        <item x="3"/>
        <item m="1" x="5"/>
        <item m="1" x="6"/>
        <item x="4"/>
        <item t="default"/>
      </items>
    </pivotField>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2"/>
  </rowFields>
  <rowItems count="5">
    <i>
      <x/>
    </i>
    <i>
      <x v="1"/>
    </i>
    <i>
      <x v="2"/>
    </i>
    <i>
      <x v="3"/>
    </i>
    <i t="grand">
      <x/>
    </i>
  </rowItems>
  <colItems count="1">
    <i/>
  </colItems>
  <pageFields count="3">
    <pageField fld="6" hier="-1"/>
    <pageField fld="7" hier="-1"/>
    <pageField fld="21" hier="-1"/>
  </pageFields>
  <dataFields count="1">
    <dataField name="Count of Latrines gender sperated" fld="52" subtotal="count" baseField="0" baseItem="0" numFmtId="1"/>
  </dataFields>
  <formats count="3">
    <format dxfId="175">
      <pivotArea outline="0" collapsedLevelsAreSubtotals="1" fieldPosition="0"/>
    </format>
    <format dxfId="174">
      <pivotArea outline="0" collapsedLevelsAreSubtotals="1" fieldPosition="0"/>
    </format>
    <format dxfId="173">
      <pivotArea outline="0" fieldPosition="0">
        <references count="1">
          <reference field="4294967294" count="1">
            <x v="0"/>
          </reference>
        </references>
      </pivotArea>
    </format>
  </formats>
  <chartFormats count="15">
    <chartFormat chart="30" format="15" series="1">
      <pivotArea type="data" outline="0" fieldPosition="0">
        <references count="1">
          <reference field="4294967294" count="1" selected="0">
            <x v="0"/>
          </reference>
        </references>
      </pivotArea>
    </chartFormat>
    <chartFormat chart="30" format="16">
      <pivotArea type="data" outline="0" fieldPosition="0">
        <references count="2">
          <reference field="4294967294" count="1" selected="0">
            <x v="0"/>
          </reference>
          <reference field="52" count="1" selected="0">
            <x v="0"/>
          </reference>
        </references>
      </pivotArea>
    </chartFormat>
    <chartFormat chart="30" format="17">
      <pivotArea type="data" outline="0" fieldPosition="0">
        <references count="2">
          <reference field="4294967294" count="1" selected="0">
            <x v="0"/>
          </reference>
          <reference field="52" count="1" selected="0">
            <x v="1"/>
          </reference>
        </references>
      </pivotArea>
    </chartFormat>
    <chartFormat chart="30" format="18">
      <pivotArea type="data" outline="0" fieldPosition="0">
        <references count="2">
          <reference field="4294967294" count="1" selected="0">
            <x v="0"/>
          </reference>
          <reference field="52" count="1" selected="0">
            <x v="2"/>
          </reference>
        </references>
      </pivotArea>
    </chartFormat>
    <chartFormat chart="30" format="19">
      <pivotArea type="data" outline="0" fieldPosition="0">
        <references count="2">
          <reference field="4294967294" count="1" selected="0">
            <x v="0"/>
          </reference>
          <reference field="52" count="1" selected="0">
            <x v="3"/>
          </reference>
        </references>
      </pivotArea>
    </chartFormat>
    <chartFormat chart="30" format="20">
      <pivotArea type="data" outline="0" fieldPosition="0">
        <references count="2">
          <reference field="4294967294" count="1" selected="0">
            <x v="0"/>
          </reference>
          <reference field="52" count="1" selected="0">
            <x v="6"/>
          </reference>
        </references>
      </pivotArea>
    </chartFormat>
    <chartFormat chart="30" format="21">
      <pivotArea type="data" outline="0" fieldPosition="0">
        <references count="2">
          <reference field="4294967294" count="1" selected="0">
            <x v="0"/>
          </reference>
          <reference field="52" count="1" selected="0">
            <x v="4"/>
          </reference>
        </references>
      </pivotArea>
    </chartFormat>
    <chartFormat chart="30" format="22">
      <pivotArea type="data" outline="0" fieldPosition="0">
        <references count="2">
          <reference field="4294967294" count="1" selected="0">
            <x v="0"/>
          </reference>
          <reference field="52" count="1" selected="0">
            <x v="5"/>
          </reference>
        </references>
      </pivotArea>
    </chartFormat>
    <chartFormat chart="35" format="30" series="1">
      <pivotArea type="data" outline="0" fieldPosition="0">
        <references count="1">
          <reference field="4294967294" count="1" selected="0">
            <x v="0"/>
          </reference>
        </references>
      </pivotArea>
    </chartFormat>
    <chartFormat chart="35" format="31">
      <pivotArea type="data" outline="0" fieldPosition="0">
        <references count="2">
          <reference field="4294967294" count="1" selected="0">
            <x v="0"/>
          </reference>
          <reference field="52" count="1" selected="0">
            <x v="0"/>
          </reference>
        </references>
      </pivotArea>
    </chartFormat>
    <chartFormat chart="35" format="32">
      <pivotArea type="data" outline="0" fieldPosition="0">
        <references count="2">
          <reference field="4294967294" count="1" selected="0">
            <x v="0"/>
          </reference>
          <reference field="52" count="1" selected="0">
            <x v="1"/>
          </reference>
        </references>
      </pivotArea>
    </chartFormat>
    <chartFormat chart="35" format="33">
      <pivotArea type="data" outline="0" fieldPosition="0">
        <references count="2">
          <reference field="4294967294" count="1" selected="0">
            <x v="0"/>
          </reference>
          <reference field="52" count="1" selected="0">
            <x v="2"/>
          </reference>
        </references>
      </pivotArea>
    </chartFormat>
    <chartFormat chart="35" format="34">
      <pivotArea type="data" outline="0" fieldPosition="0">
        <references count="2">
          <reference field="4294967294" count="1" selected="0">
            <x v="0"/>
          </reference>
          <reference field="52" count="1" selected="0">
            <x v="3"/>
          </reference>
        </references>
      </pivotArea>
    </chartFormat>
    <chartFormat chart="35" format="35">
      <pivotArea type="data" outline="0" fieldPosition="0">
        <references count="2">
          <reference field="4294967294" count="1" selected="0">
            <x v="0"/>
          </reference>
          <reference field="52" count="1" selected="0">
            <x v="4"/>
          </reference>
        </references>
      </pivotArea>
    </chartFormat>
    <chartFormat chart="35" format="36">
      <pivotArea type="data" outline="0" fieldPosition="0">
        <references count="2">
          <reference field="4294967294" count="1" selected="0">
            <x v="0"/>
          </reference>
          <reference field="5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2"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8">
  <location ref="B688:C709" firstHeaderRow="1" firstDataRow="1" firstDataCol="1"/>
  <pivotFields count="20">
    <pivotField axis="axisRow" showAll="0">
      <items count="22">
        <item x="0"/>
        <item x="1"/>
        <item sd="0" x="2"/>
        <item x="3"/>
        <item sd="0" x="4"/>
        <item x="5"/>
        <item m="1" x="20"/>
        <item x="6"/>
        <item sd="0" x="7"/>
        <item sd="0" x="8"/>
        <item x="9"/>
        <item x="10"/>
        <item x="11"/>
        <item x="12"/>
        <item x="13"/>
        <item x="14"/>
        <item sd="0" x="15"/>
        <item x="16"/>
        <item x="18"/>
        <item x="19"/>
        <item x="17"/>
        <item t="default"/>
      </items>
    </pivotField>
    <pivotField showAll="0"/>
    <pivotField showAll="0"/>
    <pivotField dataField="1" showAll="0"/>
    <pivotField showAll="0"/>
    <pivotField showAll="0"/>
    <pivotField showAll="0"/>
    <pivotField showAll="0"/>
    <pivotField showAll="0" defaultSubtotal="0"/>
    <pivotField showAll="0" defaultSubtotal="0"/>
    <pivotField showAll="0"/>
    <pivotField showAll="0"/>
    <pivotField showAll="0" defaultSubtotal="0"/>
    <pivotField showAll="0"/>
    <pivotField showAll="0"/>
    <pivotField showAll="0"/>
    <pivotField showAll="0"/>
    <pivotField axis="axisRow" showAll="0">
      <items count="11">
        <item m="1" x="9"/>
        <item x="7"/>
        <item x="3"/>
        <item x="1"/>
        <item x="2"/>
        <item x="6"/>
        <item x="4"/>
        <item x="0"/>
        <item x="5"/>
        <item x="8"/>
        <item t="default"/>
      </items>
    </pivotField>
    <pivotField showAll="0"/>
    <pivotField axis="axisRow" showAll="0" defaultSubtotal="0">
      <items count="18">
        <item x="1"/>
        <item h="1" m="1" x="17"/>
        <item h="1" m="1" x="13"/>
        <item h="1" m="1" x="14"/>
        <item h="1" m="1" x="10"/>
        <item h="1" x="4"/>
        <item h="1" x="7"/>
        <item h="1" m="1" x="9"/>
        <item h="1" m="1" x="12"/>
        <item h="1" x="0"/>
        <item h="1" m="1" x="15"/>
        <item h="1" m="1" x="16"/>
        <item h="1" x="3"/>
        <item h="1" m="1" x="11"/>
        <item h="1" x="5"/>
        <item h="1" m="1" x="8"/>
        <item h="1" x="2"/>
        <item h="1" x="6"/>
      </items>
    </pivotField>
  </pivotFields>
  <rowFields count="3">
    <field x="19"/>
    <field x="0"/>
    <field x="17"/>
  </rowFields>
  <rowItems count="31">
    <i>
      <x/>
    </i>
    <i r="1">
      <x/>
    </i>
    <i r="2">
      <x v="4"/>
    </i>
    <i r="1">
      <x v="1"/>
    </i>
    <i r="2">
      <x v="4"/>
    </i>
    <i r="1">
      <x v="2"/>
    </i>
    <i r="1">
      <x v="4"/>
    </i>
    <i r="1">
      <x v="7"/>
    </i>
    <i r="2">
      <x v="4"/>
    </i>
    <i r="1">
      <x v="8"/>
    </i>
    <i r="1">
      <x v="9"/>
    </i>
    <i r="1">
      <x v="10"/>
    </i>
    <i r="2">
      <x v="4"/>
    </i>
    <i r="1">
      <x v="11"/>
    </i>
    <i r="2">
      <x v="4"/>
    </i>
    <i r="1">
      <x v="12"/>
    </i>
    <i r="2">
      <x v="4"/>
    </i>
    <i r="1">
      <x v="13"/>
    </i>
    <i r="2">
      <x v="4"/>
    </i>
    <i r="1">
      <x v="14"/>
    </i>
    <i r="2">
      <x v="4"/>
    </i>
    <i r="1">
      <x v="15"/>
    </i>
    <i r="2">
      <x v="4"/>
    </i>
    <i r="1">
      <x v="16"/>
    </i>
    <i r="1">
      <x v="17"/>
    </i>
    <i r="2">
      <x v="4"/>
    </i>
    <i r="1">
      <x v="18"/>
    </i>
    <i r="2">
      <x v="4"/>
    </i>
    <i r="1">
      <x v="20"/>
    </i>
    <i r="2">
      <x v="4"/>
    </i>
    <i t="grand">
      <x/>
    </i>
  </rowItems>
  <colItems count="1">
    <i/>
  </colItems>
  <dataFields count="1">
    <dataField name="Count of Site" fld="3" subtotal="count" baseField="0" baseItem="0"/>
  </dataFields>
  <formats count="1">
    <format dxfId="176">
      <pivotArea dataOnly="0" labelOnly="1" outline="0" axis="axisValues" fieldPosition="0"/>
    </format>
  </formats>
  <chartFormats count="1">
    <chartFormat chart="3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5"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401:C404" firstHeaderRow="1" firstDataRow="1" firstDataCol="1" rowPageCount="3" colPageCount="1"/>
  <pivotFields count="103">
    <pivotField showAll="0"/>
    <pivotField showAll="0"/>
    <pivotField axis="axisPage" showAll="0">
      <items count="11">
        <item x="2"/>
        <item x="9"/>
        <item x="7"/>
        <item x="0"/>
        <item x="8"/>
        <item x="4"/>
        <item x="5"/>
        <item x="3"/>
        <item x="6"/>
        <item x="1"/>
        <item t="default"/>
      </items>
    </pivotField>
    <pivotField showAll="0"/>
    <pivotField showAll="0"/>
    <pivotField showAll="0"/>
    <pivotField axis="axisPage" multipleItemSelectionAllowed="1" showAll="0">
      <items count="5">
        <item x="0"/>
        <item x="2"/>
        <item x="1"/>
        <item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Items count="1">
    <i/>
  </colItems>
  <pageFields count="3">
    <pageField fld="6" hier="-1"/>
    <pageField fld="2" hier="-1"/>
    <pageField fld="21" hier="-1"/>
  </pageFields>
  <dataFields count="1">
    <dataField name="% Coverage HP session at HH level" fld="99" baseField="0" baseItem="0" numFmtId="3"/>
  </dataFields>
  <formats count="2">
    <format dxfId="178">
      <pivotArea outline="0" collapsedLevelsAreSubtotals="1" fieldPosition="0"/>
    </format>
    <format dxfId="177">
      <pivotArea outline="0" collapsedLevelsAreSubtotals="1" fieldPosition="0"/>
    </format>
  </formats>
  <chartFormats count="1">
    <chartFormat chart="2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6"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B221:M225" firstHeaderRow="1" firstDataRow="2" firstDataCol="1" rowPageCount="2" colPageCount="1"/>
  <pivotFields count="103">
    <pivotField showAll="0"/>
    <pivotField showAll="0"/>
    <pivotField axis="axisCol" showAll="0">
      <items count="11">
        <item x="2"/>
        <item x="1"/>
        <item x="9"/>
        <item x="7"/>
        <item x="0"/>
        <item x="8"/>
        <item x="4"/>
        <item x="5"/>
        <item x="3"/>
        <item x="6"/>
        <item t="default"/>
      </items>
    </pivotField>
    <pivotField showAll="0"/>
    <pivotField showAll="0"/>
    <pivotField showAll="0"/>
    <pivotField axis="axisPage" multipleItemSelectionAllowed="1" showAll="0">
      <items count="5">
        <item x="0"/>
        <item x="2"/>
        <item x="1"/>
        <item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11">
    <i>
      <x/>
    </i>
    <i>
      <x v="1"/>
    </i>
    <i>
      <x v="2"/>
    </i>
    <i>
      <x v="3"/>
    </i>
    <i>
      <x v="4"/>
    </i>
    <i>
      <x v="5"/>
    </i>
    <i>
      <x v="6"/>
    </i>
    <i>
      <x v="7"/>
    </i>
    <i>
      <x v="8"/>
    </i>
    <i>
      <x v="9"/>
    </i>
    <i t="grand">
      <x/>
    </i>
  </colItems>
  <pageFields count="2">
    <pageField fld="6" hier="-1"/>
    <pageField fld="21" hier="-1"/>
  </pageFields>
  <dataFields count="1">
    <dataField name="Sum of # Semi permanent latrines missing" fld="62" baseField="0" baseItem="0" numFmtId="1"/>
  </dataFields>
  <formats count="4">
    <format dxfId="182">
      <pivotArea outline="0" collapsedLevelsAreSubtotals="1" fieldPosition="0"/>
    </format>
    <format dxfId="181">
      <pivotArea outline="0" collapsedLevelsAreSubtotals="1" fieldPosition="0"/>
    </format>
    <format dxfId="180">
      <pivotArea dataOnly="0" labelOnly="1" fieldPosition="0">
        <references count="1">
          <reference field="2" count="0"/>
        </references>
      </pivotArea>
    </format>
    <format dxfId="179">
      <pivotArea dataOnly="0" labelOnly="1" grandCol="1" outline="0" fieldPosition="0"/>
    </format>
  </formats>
  <chartFormats count="24">
    <chartFormat chart="8" format="0" series="1">
      <pivotArea type="data" outline="0" fieldPosition="0">
        <references count="2">
          <reference field="4294967294" count="1" selected="0">
            <x v="0"/>
          </reference>
          <reference field="7" count="1" selected="0">
            <x v="0"/>
          </reference>
        </references>
      </pivotArea>
    </chartFormat>
    <chartFormat chart="8" format="1" series="1">
      <pivotArea type="data" outline="0" fieldPosition="0">
        <references count="2">
          <reference field="4294967294" count="1" selected="0">
            <x v="0"/>
          </reference>
          <reference field="7" count="1" selected="0">
            <x v="1"/>
          </reference>
        </references>
      </pivotArea>
    </chartFormat>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4" format="0" series="1">
      <pivotArea type="data" outline="0" fieldPosition="0">
        <references count="2">
          <reference field="4294967294" count="1" selected="0">
            <x v="0"/>
          </reference>
          <reference field="2" count="1" selected="0">
            <x v="0"/>
          </reference>
        </references>
      </pivotArea>
    </chartFormat>
    <chartFormat chart="14" format="1" series="1">
      <pivotArea type="data" outline="0" fieldPosition="0">
        <references count="2">
          <reference field="4294967294" count="1" selected="0">
            <x v="0"/>
          </reference>
          <reference field="2" count="1" selected="0">
            <x v="1"/>
          </reference>
        </references>
      </pivotArea>
    </chartFormat>
    <chartFormat chart="14" format="2" series="1">
      <pivotArea type="data" outline="0" fieldPosition="0">
        <references count="2">
          <reference field="4294967294" count="1" selected="0">
            <x v="0"/>
          </reference>
          <reference field="2" count="1" selected="0">
            <x v="2"/>
          </reference>
        </references>
      </pivotArea>
    </chartFormat>
    <chartFormat chart="14" format="3" series="1">
      <pivotArea type="data" outline="0" fieldPosition="0">
        <references count="2">
          <reference field="4294967294" count="1" selected="0">
            <x v="0"/>
          </reference>
          <reference field="2" count="1" selected="0">
            <x v="3"/>
          </reference>
        </references>
      </pivotArea>
    </chartFormat>
    <chartFormat chart="14" format="4" series="1">
      <pivotArea type="data" outline="0" fieldPosition="0">
        <references count="2">
          <reference field="4294967294" count="1" selected="0">
            <x v="0"/>
          </reference>
          <reference field="2" count="1" selected="0">
            <x v="4"/>
          </reference>
        </references>
      </pivotArea>
    </chartFormat>
    <chartFormat chart="14" format="5" series="1">
      <pivotArea type="data" outline="0" fieldPosition="0">
        <references count="2">
          <reference field="4294967294" count="1" selected="0">
            <x v="0"/>
          </reference>
          <reference field="2" count="1" selected="0">
            <x v="5"/>
          </reference>
        </references>
      </pivotArea>
    </chartFormat>
    <chartFormat chart="14" format="6" series="1">
      <pivotArea type="data" outline="0" fieldPosition="0">
        <references count="2">
          <reference field="4294967294" count="1" selected="0">
            <x v="0"/>
          </reference>
          <reference field="2" count="1" selected="0">
            <x v="6"/>
          </reference>
        </references>
      </pivotArea>
    </chartFormat>
    <chartFormat chart="14" format="7" series="1">
      <pivotArea type="data" outline="0" fieldPosition="0">
        <references count="2">
          <reference field="4294967294" count="1" selected="0">
            <x v="0"/>
          </reference>
          <reference field="2" count="1" selected="0">
            <x v="7"/>
          </reference>
        </references>
      </pivotArea>
    </chartFormat>
    <chartFormat chart="14" format="8" series="1">
      <pivotArea type="data" outline="0" fieldPosition="0">
        <references count="2">
          <reference field="4294967294" count="1" selected="0">
            <x v="0"/>
          </reference>
          <reference field="2" count="1" selected="0">
            <x v="8"/>
          </reference>
        </references>
      </pivotArea>
    </chartFormat>
    <chartFormat chart="14" format="9" series="1">
      <pivotArea type="data" outline="0" fieldPosition="0">
        <references count="2">
          <reference field="4294967294" count="1" selected="0">
            <x v="0"/>
          </reference>
          <reference field="2" count="1" selected="0">
            <x v="9"/>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1"/>
          </reference>
        </references>
      </pivotArea>
    </chartFormat>
    <chartFormat chart="16" format="2" series="1">
      <pivotArea type="data" outline="0" fieldPosition="0">
        <references count="2">
          <reference field="4294967294" count="1" selected="0">
            <x v="0"/>
          </reference>
          <reference field="2" count="1" selected="0">
            <x v="2"/>
          </reference>
        </references>
      </pivotArea>
    </chartFormat>
    <chartFormat chart="16" format="3" series="1">
      <pivotArea type="data" outline="0" fieldPosition="0">
        <references count="2">
          <reference field="4294967294" count="1" selected="0">
            <x v="0"/>
          </reference>
          <reference field="2" count="1" selected="0">
            <x v="3"/>
          </reference>
        </references>
      </pivotArea>
    </chartFormat>
    <chartFormat chart="16" format="4" series="1">
      <pivotArea type="data" outline="0" fieldPosition="0">
        <references count="2">
          <reference field="4294967294" count="1" selected="0">
            <x v="0"/>
          </reference>
          <reference field="2" count="1" selected="0">
            <x v="4"/>
          </reference>
        </references>
      </pivotArea>
    </chartFormat>
    <chartFormat chart="16" format="5" series="1">
      <pivotArea type="data" outline="0" fieldPosition="0">
        <references count="2">
          <reference field="4294967294" count="1" selected="0">
            <x v="0"/>
          </reference>
          <reference field="2" count="1" selected="0">
            <x v="5"/>
          </reference>
        </references>
      </pivotArea>
    </chartFormat>
    <chartFormat chart="16" format="6" series="1">
      <pivotArea type="data" outline="0" fieldPosition="0">
        <references count="2">
          <reference field="4294967294" count="1" selected="0">
            <x v="0"/>
          </reference>
          <reference field="2" count="1" selected="0">
            <x v="6"/>
          </reference>
        </references>
      </pivotArea>
    </chartFormat>
    <chartFormat chart="16" format="7" series="1">
      <pivotArea type="data" outline="0" fieldPosition="0">
        <references count="2">
          <reference field="4294967294" count="1" selected="0">
            <x v="0"/>
          </reference>
          <reference field="2" count="1" selected="0">
            <x v="7"/>
          </reference>
        </references>
      </pivotArea>
    </chartFormat>
    <chartFormat chart="16" format="8" series="1">
      <pivotArea type="data" outline="0" fieldPosition="0">
        <references count="2">
          <reference field="4294967294" count="1" selected="0">
            <x v="0"/>
          </reference>
          <reference field="2" count="1" selected="0">
            <x v="8"/>
          </reference>
        </references>
      </pivotArea>
    </chartFormat>
    <chartFormat chart="16" format="9" series="1">
      <pivotArea type="data" outline="0" fieldPosition="0">
        <references count="2">
          <reference field="4294967294" count="1" selected="0">
            <x v="0"/>
          </reference>
          <reference field="2"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2"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8">
  <location ref="B622:E643" firstHeaderRow="1" firstDataRow="2" firstDataCol="1" rowPageCount="3" colPageCount="1"/>
  <pivotFields count="103">
    <pivotField axis="axisRow" showAll="0">
      <items count="21">
        <item x="0"/>
        <item x="1"/>
        <item x="2"/>
        <item x="4"/>
        <item x="5"/>
        <item m="1" x="19"/>
        <item x="6"/>
        <item x="7"/>
        <item x="8"/>
        <item x="9"/>
        <item x="10"/>
        <item x="11"/>
        <item x="12"/>
        <item x="13"/>
        <item x="14"/>
        <item x="15"/>
        <item x="16"/>
        <item x="17"/>
        <item x="18"/>
        <item x="3"/>
        <item t="default"/>
      </items>
    </pivotField>
    <pivotField showAll="0"/>
    <pivotField axis="axisPage" showAll="0">
      <items count="11">
        <item x="2"/>
        <item x="1"/>
        <item x="9"/>
        <item x="7"/>
        <item x="0"/>
        <item x="8"/>
        <item x="4"/>
        <item x="5"/>
        <item x="3"/>
        <item x="6"/>
        <item t="default"/>
      </items>
    </pivotField>
    <pivotField showAll="0"/>
    <pivotField showAll="0"/>
    <pivotField showAll="0"/>
    <pivotField axis="axisPage" multipleItemSelectionAllowed="1" showAll="0">
      <items count="5">
        <item x="0"/>
        <item x="2"/>
        <item x="1"/>
        <item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dataField="1" showAll="0"/>
    <pivotField showAll="0"/>
    <pivotField showAll="0" defaultSubtotal="0"/>
    <pivotField showAll="0"/>
    <pivotField showAll="0"/>
    <pivotField axis="axisCol" showAll="0" defaultSubtotal="0">
      <items count="2">
        <item x="0"/>
        <item x="1"/>
      </items>
    </pivotField>
    <pivotField showAll="0" defaultSubtotal="0"/>
    <pivotField showAll="0"/>
    <pivotField showAll="0" defaultSubtotal="0"/>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6"/>
    </i>
    <i>
      <x v="7"/>
    </i>
    <i>
      <x v="8"/>
    </i>
    <i>
      <x v="9"/>
    </i>
    <i>
      <x v="10"/>
    </i>
    <i>
      <x v="11"/>
    </i>
    <i>
      <x v="12"/>
    </i>
    <i>
      <x v="13"/>
    </i>
    <i>
      <x v="14"/>
    </i>
    <i>
      <x v="15"/>
    </i>
    <i>
      <x v="16"/>
    </i>
    <i>
      <x v="17"/>
    </i>
    <i>
      <x v="18"/>
    </i>
    <i>
      <x v="19"/>
    </i>
    <i t="grand">
      <x/>
    </i>
  </rowItems>
  <colFields count="1">
    <field x="18"/>
  </colFields>
  <colItems count="3">
    <i>
      <x/>
    </i>
    <i>
      <x v="1"/>
    </i>
    <i t="grand">
      <x/>
    </i>
  </colItems>
  <pageFields count="3">
    <pageField fld="6" hier="-1"/>
    <pageField fld="2" hier="-1"/>
    <pageField fld="7" hier="-1"/>
  </pageFields>
  <dataFields count="1">
    <dataField name="Sum of Total PoP" fld="13" baseField="0" baseItem="0" numFmtId="1"/>
  </dataFields>
  <formats count="3">
    <format dxfId="185">
      <pivotArea outline="0" collapsedLevelsAreSubtotals="1" fieldPosition="0"/>
    </format>
    <format dxfId="184">
      <pivotArea outline="0" collapsedLevelsAreSubtotals="1" fieldPosition="0"/>
    </format>
    <format dxfId="183">
      <pivotArea outline="0" collapsedLevelsAreSubtotals="1" fieldPosition="0"/>
    </format>
  </formats>
  <chartFormats count="6">
    <chartFormat chart="42" format="0" series="1">
      <pivotArea type="data" outline="0" fieldPosition="0">
        <references count="2">
          <reference field="4294967294" count="1" selected="0">
            <x v="0"/>
          </reference>
          <reference field="18" count="1" selected="0">
            <x v="0"/>
          </reference>
        </references>
      </pivotArea>
    </chartFormat>
    <chartFormat chart="42" format="1" series="1">
      <pivotArea type="data" outline="0" fieldPosition="0">
        <references count="2">
          <reference field="4294967294" count="1" selected="0">
            <x v="0"/>
          </reference>
          <reference field="18" count="1" selected="0">
            <x v="1"/>
          </reference>
        </references>
      </pivotArea>
    </chartFormat>
    <chartFormat chart="44" format="0" series="1">
      <pivotArea type="data" outline="0" fieldPosition="0">
        <references count="2">
          <reference field="4294967294" count="1" selected="0">
            <x v="0"/>
          </reference>
          <reference field="18" count="1" selected="0">
            <x v="0"/>
          </reference>
        </references>
      </pivotArea>
    </chartFormat>
    <chartFormat chart="44" format="1" series="1">
      <pivotArea type="data" outline="0" fieldPosition="0">
        <references count="2">
          <reference field="4294967294" count="1" selected="0">
            <x v="0"/>
          </reference>
          <reference field="18" count="1" selected="0">
            <x v="1"/>
          </reference>
        </references>
      </pivotArea>
    </chartFormat>
    <chartFormat chart="46" format="0" series="1">
      <pivotArea type="data" outline="0" fieldPosition="0">
        <references count="2">
          <reference field="4294967294" count="1" selected="0">
            <x v="0"/>
          </reference>
          <reference field="18" count="1" selected="0">
            <x v="0"/>
          </reference>
        </references>
      </pivotArea>
    </chartFormat>
    <chartFormat chart="46" format="1" series="1">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9"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7">
  <location ref="B322:D325" firstHeaderRow="0" firstDataRow="1" firstDataCol="1" rowPageCount="2" colPageCount="1"/>
  <pivotFields count="103">
    <pivotField showAll="0"/>
    <pivotField showAll="0"/>
    <pivotField showAll="0"/>
    <pivotField showAll="0"/>
    <pivotField showAll="0"/>
    <pivotField showAll="0"/>
    <pivotField axis="axisPage" multipleItemSelectionAllowed="1" showAll="0">
      <items count="5">
        <item x="0"/>
        <item h="1" x="2"/>
        <item h="1" x="1"/>
        <item h="1"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21" hier="-1"/>
  </pageFields>
  <dataFields count="2">
    <dataField name="% Latrine need coverage" fld="94" baseField="0" baseItem="0" numFmtId="1"/>
    <dataField name="% Projection latrine need coverage EOP" fld="101" baseField="0" baseItem="0" numFmtId="1"/>
  </dataFields>
  <formats count="4">
    <format dxfId="189">
      <pivotArea outline="0" collapsedLevelsAreSubtotals="1" fieldPosition="0"/>
    </format>
    <format dxfId="188">
      <pivotArea outline="0" collapsedLevelsAreSubtotals="1" fieldPosition="0"/>
    </format>
    <format dxfId="187">
      <pivotArea field="7" type="button" dataOnly="0" labelOnly="1" outline="0" axis="axisRow" fieldPosition="0"/>
    </format>
    <format dxfId="186">
      <pivotArea dataOnly="0" labelOnly="1" outline="0" fieldPosition="0">
        <references count="1">
          <reference field="4294967294" count="2">
            <x v="0"/>
            <x v="1"/>
          </reference>
        </references>
      </pivotArea>
    </format>
  </formats>
  <chartFormats count="2">
    <chartFormat chart="36" format="6" series="1">
      <pivotArea type="data" outline="0" fieldPosition="0">
        <references count="1">
          <reference field="4294967294" count="1" selected="0">
            <x v="0"/>
          </reference>
        </references>
      </pivotArea>
    </chartFormat>
    <chartFormat chart="36"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3"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B137:E141" firstHeaderRow="0" firstDataRow="1" firstDataCol="1" rowPageCount="3" colPageCount="1"/>
  <pivotFields count="103">
    <pivotField axis="axisPage" showAll="0">
      <items count="21">
        <item x="0"/>
        <item x="1"/>
        <item x="2"/>
        <item x="4"/>
        <item x="5"/>
        <item m="1" x="19"/>
        <item x="6"/>
        <item x="7"/>
        <item x="8"/>
        <item x="9"/>
        <item x="10"/>
        <item x="11"/>
        <item x="12"/>
        <item x="13"/>
        <item x="14"/>
        <item x="15"/>
        <item x="16"/>
        <item x="17"/>
        <item x="18"/>
        <item x="3"/>
        <item t="default"/>
      </items>
    </pivotField>
    <pivotField showAll="0"/>
    <pivotField showAll="0"/>
    <pivotField showAll="0"/>
    <pivotField showAll="0"/>
    <pivotField showAll="0"/>
    <pivotField axis="axisRow" multipleItemSelectionAllowed="1" showAll="0">
      <items count="5">
        <item x="0"/>
        <item x="2"/>
        <item x="1"/>
        <item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2"/>
    </i>
    <i t="grand">
      <x/>
    </i>
  </rowItems>
  <colFields count="1">
    <field x="-2"/>
  </colFields>
  <colItems count="3">
    <i>
      <x/>
    </i>
    <i i="1">
      <x v="1"/>
    </i>
    <i i="2">
      <x v="2"/>
    </i>
  </colItems>
  <pageFields count="3">
    <pageField fld="7" hier="-1"/>
    <pageField fld="0" hier="-1"/>
    <pageField fld="21" hier="-1"/>
  </pageFields>
  <dataFields count="3">
    <dataField name="% Water Need coverage" fld="93" baseField="0" baseItem="0" numFmtId="1"/>
    <dataField name="% Latrine need coverage" fld="94" baseField="0" baseItem="0" numFmtId="1"/>
    <dataField name="% Bathroom need coverage" fld="95" baseField="0" baseItem="0" numFmtId="1"/>
  </dataFields>
  <formats count="5">
    <format dxfId="113">
      <pivotArea outline="0" collapsedLevelsAreSubtotals="1" fieldPosition="0"/>
    </format>
    <format dxfId="112">
      <pivotArea field="6" type="button" dataOnly="0" labelOnly="1" outline="0" axis="axisRow" fieldPosition="0"/>
    </format>
    <format dxfId="111">
      <pivotArea dataOnly="0" labelOnly="1" outline="0" fieldPosition="0">
        <references count="1">
          <reference field="4294967294" count="3">
            <x v="0"/>
            <x v="1"/>
            <x v="2"/>
          </reference>
        </references>
      </pivotArea>
    </format>
    <format dxfId="110">
      <pivotArea outline="0" collapsedLevelsAreSubtotals="1" fieldPosition="0"/>
    </format>
    <format dxfId="109">
      <pivotArea dataOnly="0" labelOnly="1" outline="0" fieldPosition="0">
        <references count="1">
          <reference field="4294967294" count="3">
            <x v="0"/>
            <x v="1"/>
            <x v="2"/>
          </reference>
        </references>
      </pivotArea>
    </format>
  </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6" format="18" series="1">
      <pivotArea type="data" outline="0" fieldPosition="0">
        <references count="1">
          <reference field="4294967294" count="1" selected="0">
            <x v="0"/>
          </reference>
        </references>
      </pivotArea>
    </chartFormat>
    <chartFormat chart="6" format="19" series="1">
      <pivotArea type="data" outline="0" fieldPosition="0">
        <references count="1">
          <reference field="4294967294" count="1" selected="0">
            <x v="1"/>
          </reference>
        </references>
      </pivotArea>
    </chartFormat>
    <chartFormat chart="6"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8"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252:D272" firstHeaderRow="0" firstDataRow="1" firstDataCol="1" rowPageCount="2" colPageCount="1"/>
  <pivotFields count="103">
    <pivotField axis="axisRow" showAll="0">
      <items count="21">
        <item x="0"/>
        <item x="1"/>
        <item x="2"/>
        <item x="4"/>
        <item x="5"/>
        <item m="1" x="19"/>
        <item x="6"/>
        <item x="7"/>
        <item x="8"/>
        <item x="9"/>
        <item x="10"/>
        <item x="11"/>
        <item x="12"/>
        <item x="13"/>
        <item x="14"/>
        <item x="15"/>
        <item x="16"/>
        <item x="17"/>
        <item x="18"/>
        <item x="3"/>
        <item t="default"/>
      </items>
    </pivotField>
    <pivotField showAll="0"/>
    <pivotField showAll="0"/>
    <pivotField showAll="0"/>
    <pivotField showAll="0"/>
    <pivotField showAll="0"/>
    <pivotField axis="axisPage" multipleItemSelectionAllowed="1" showAll="0">
      <items count="5">
        <item x="0"/>
        <item h="1" x="2"/>
        <item h="1" x="1"/>
        <item h="1" m="1" x="3"/>
        <item t="default"/>
      </items>
    </pivotField>
    <pivotField showAl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6"/>
    </i>
    <i>
      <x v="7"/>
    </i>
    <i>
      <x v="8"/>
    </i>
    <i>
      <x v="9"/>
    </i>
    <i>
      <x v="10"/>
    </i>
    <i>
      <x v="11"/>
    </i>
    <i>
      <x v="12"/>
    </i>
    <i>
      <x v="13"/>
    </i>
    <i>
      <x v="14"/>
    </i>
    <i>
      <x v="15"/>
    </i>
    <i>
      <x v="16"/>
    </i>
    <i>
      <x v="17"/>
    </i>
    <i>
      <x v="18"/>
    </i>
    <i>
      <x v="19"/>
    </i>
    <i t="grand">
      <x/>
    </i>
  </rowItems>
  <colFields count="1">
    <field x="-2"/>
  </colFields>
  <colItems count="2">
    <i>
      <x/>
    </i>
    <i i="1">
      <x v="1"/>
    </i>
  </colItems>
  <pageFields count="2">
    <pageField fld="6" hier="-1"/>
    <pageField fld="21" hier="-1"/>
  </pageFields>
  <dataFields count="2">
    <dataField name="% Coverage Permanent Latrine" fld="96" baseField="0" baseItem="0" numFmtId="9"/>
    <dataField name="% Coverage Emergency latrine" fld="97" baseField="0" baseItem="0" numFmtId="1"/>
  </dataFields>
  <formats count="5">
    <format dxfId="194">
      <pivotArea outline="0" collapsedLevelsAreSubtotals="1" fieldPosition="0"/>
    </format>
    <format dxfId="193">
      <pivotArea field="0" type="button" dataOnly="0" labelOnly="1" outline="0" axis="axisRow" fieldPosition="0"/>
    </format>
    <format dxfId="192">
      <pivotArea dataOnly="0" labelOnly="1" outline="0" fieldPosition="0">
        <references count="1">
          <reference field="4294967294" count="2">
            <x v="0"/>
            <x v="1"/>
          </reference>
        </references>
      </pivotArea>
    </format>
    <format dxfId="191">
      <pivotArea outline="0" collapsedLevelsAreSubtotals="1" fieldPosition="0"/>
    </format>
    <format dxfId="190">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1"/>
          </reference>
        </references>
      </pivotArea>
    </chartFormat>
    <chartFormat chart="15" format="6" series="1">
      <pivotArea type="data" outline="0" fieldPosition="0">
        <references count="1">
          <reference field="4294967294" count="1" selected="0">
            <x v="0"/>
          </reference>
        </references>
      </pivotArea>
    </chartFormat>
    <chartFormat chart="15" format="7"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7"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6">
  <location ref="B770:D774" firstHeaderRow="0" firstDataRow="1" firstDataCol="1" rowPageCount="2" colPageCount="1"/>
  <pivotFields count="103">
    <pivotField showAll="0"/>
    <pivotField showAll="0"/>
    <pivotField showAll="0"/>
    <pivotField showAll="0"/>
    <pivotField showAll="0"/>
    <pivotField showAll="0"/>
    <pivotField multipleItemSelectionAllowed="1" showAll="0"/>
    <pivotField axis="axisPage" showAll="0">
      <items count="4">
        <item x="0"/>
        <item x="1"/>
        <item m="1" x="2"/>
        <item t="default"/>
      </items>
    </pivotField>
    <pivotField axis="axisRow" showAll="0" defaultSubtotal="0">
      <items count="4">
        <item x="2"/>
        <item x="1"/>
        <item x="0"/>
        <item m="1" x="3"/>
      </items>
    </pivotField>
    <pivotField showAll="0" defaultSubtotal="0"/>
    <pivotField showAll="0"/>
    <pivotField showAll="0"/>
    <pivotField dataField="1" showAll="0" defaultSubtotal="0"/>
    <pivotField dataField="1"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items count="16">
        <item m="1" x="4"/>
        <item m="1" x="9"/>
        <item x="0"/>
        <item m="1" x="8"/>
        <item m="1" x="6"/>
        <item m="1" x="13"/>
        <item m="1" x="10"/>
        <item m="1" x="7"/>
        <item m="1" x="11"/>
        <item m="1" x="12"/>
        <item m="1" x="14"/>
        <item x="1"/>
        <item x="2"/>
        <item x="3"/>
        <item m="1" x="5"/>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
  </rowFields>
  <rowItems count="4">
    <i>
      <x/>
    </i>
    <i>
      <x v="1"/>
    </i>
    <i>
      <x v="2"/>
    </i>
    <i t="grand">
      <x/>
    </i>
  </rowItems>
  <colFields count="1">
    <field x="-2"/>
  </colFields>
  <colItems count="2">
    <i>
      <x/>
    </i>
    <i i="1">
      <x v="1"/>
    </i>
  </colItems>
  <pageFields count="2">
    <pageField fld="7" hier="-1"/>
    <pageField fld="21" hier="-1"/>
  </pageFields>
  <dataFields count="2">
    <dataField name="Sum of Total PoP" fld="13" baseField="9" baseItem="0" numFmtId="1"/>
    <dataField name="Sum of IDP population observed by Wash Cluster living in the camp" fld="12" baseField="0" baseItem="0"/>
  </dataFields>
  <formats count="13">
    <format dxfId="207">
      <pivotArea outline="0" collapsedLevelsAreSubtotals="1" fieldPosition="0"/>
    </format>
    <format dxfId="206">
      <pivotArea outline="0" collapsedLevelsAreSubtotals="1" fieldPosition="0"/>
    </format>
    <format dxfId="205">
      <pivotArea field="91" type="button" dataOnly="0" labelOnly="1" outline="0"/>
    </format>
    <format dxfId="204">
      <pivotArea dataOnly="0" labelOnly="1" outline="0" axis="axisValues" fieldPosition="0"/>
    </format>
    <format dxfId="203">
      <pivotArea outline="0" collapsedLevelsAreSubtotals="1" fieldPosition="0"/>
    </format>
    <format dxfId="202">
      <pivotArea dataOnly="0" labelOnly="1" outline="0" fieldPosition="0">
        <references count="1">
          <reference field="4294967294" count="1">
            <x v="1"/>
          </reference>
        </references>
      </pivotArea>
    </format>
    <format dxfId="201">
      <pivotArea dataOnly="0" labelOnly="1" outline="0" fieldPosition="0">
        <references count="1">
          <reference field="4294967294" count="1">
            <x v="1"/>
          </reference>
        </references>
      </pivotArea>
    </format>
    <format dxfId="200">
      <pivotArea dataOnly="0" labelOnly="1" outline="0" fieldPosition="0">
        <references count="1">
          <reference field="4294967294" count="1">
            <x v="1"/>
          </reference>
        </references>
      </pivotArea>
    </format>
    <format dxfId="199">
      <pivotArea field="8" type="button" dataOnly="0" labelOnly="1" outline="0" axis="axisRow" fieldPosition="0"/>
    </format>
    <format dxfId="198">
      <pivotArea dataOnly="0" labelOnly="1" outline="0" fieldPosition="0">
        <references count="1">
          <reference field="4294967294" count="1">
            <x v="0"/>
          </reference>
        </references>
      </pivotArea>
    </format>
    <format dxfId="197">
      <pivotArea field="8" type="button" dataOnly="0" labelOnly="1" outline="0" axis="axisRow" fieldPosition="0"/>
    </format>
    <format dxfId="196">
      <pivotArea dataOnly="0" labelOnly="1" outline="0" fieldPosition="0">
        <references count="1">
          <reference field="4294967294" count="1">
            <x v="0"/>
          </reference>
        </references>
      </pivotArea>
    </format>
    <format dxfId="195">
      <pivotArea dataOnly="0" labelOnly="1" outline="0" fieldPosition="0">
        <references count="1">
          <reference field="4294967294" count="1">
            <x v="0"/>
          </reference>
        </references>
      </pivotArea>
    </format>
  </formats>
  <chartFormats count="16">
    <chartFormat chart="36" format="0" series="1">
      <pivotArea type="data" outline="0" fieldPosition="0">
        <references count="1">
          <reference field="4294967294" count="1" selected="0">
            <x v="0"/>
          </reference>
        </references>
      </pivotArea>
    </chartFormat>
    <chartFormat chart="36" format="1" series="1">
      <pivotArea type="data" outline="0" fieldPosition="0">
        <references count="1">
          <reference field="4294967294" count="1" selected="0">
            <x v="1"/>
          </reference>
        </references>
      </pivotArea>
    </chartFormat>
    <chartFormat chart="38" format="0" series="1">
      <pivotArea type="data" outline="0" fieldPosition="0">
        <references count="1">
          <reference field="4294967294" count="1" selected="0">
            <x v="0"/>
          </reference>
        </references>
      </pivotArea>
    </chartFormat>
    <chartFormat chart="38" format="1" series="1">
      <pivotArea type="data" outline="0" fieldPosition="0">
        <references count="1">
          <reference field="4294967294" count="1" selected="0">
            <x v="1"/>
          </reference>
        </references>
      </pivotArea>
    </chartFormat>
    <chartFormat chart="43" format="12" series="1">
      <pivotArea type="data" outline="0" fieldPosition="0">
        <references count="1">
          <reference field="4294967294" count="1" selected="0">
            <x v="0"/>
          </reference>
        </references>
      </pivotArea>
    </chartFormat>
    <chartFormat chart="43" format="17" series="1">
      <pivotArea type="data" outline="0" fieldPosition="0">
        <references count="1">
          <reference field="4294967294" count="1" selected="0">
            <x v="1"/>
          </reference>
        </references>
      </pivotArea>
    </chartFormat>
    <chartFormat chart="44" format="0" series="1">
      <pivotArea type="data" outline="0" fieldPosition="0">
        <references count="1">
          <reference field="4294967294" count="1" selected="0">
            <x v="0"/>
          </reference>
        </references>
      </pivotArea>
    </chartFormat>
    <chartFormat chart="44" format="1" series="1">
      <pivotArea type="data" outline="0" fieldPosition="0">
        <references count="1">
          <reference field="4294967294" count="1" selected="0">
            <x v="1"/>
          </reference>
        </references>
      </pivotArea>
    </chartFormat>
    <chartFormat chart="44" format="2">
      <pivotArea type="data" outline="0" fieldPosition="0">
        <references count="2">
          <reference field="4294967294" count="1" selected="0">
            <x v="0"/>
          </reference>
          <reference field="8" count="1" selected="0">
            <x v="0"/>
          </reference>
        </references>
      </pivotArea>
    </chartFormat>
    <chartFormat chart="44" format="3">
      <pivotArea type="data" outline="0" fieldPosition="0">
        <references count="2">
          <reference field="4294967294" count="1" selected="0">
            <x v="0"/>
          </reference>
          <reference field="8" count="1" selected="0">
            <x v="1"/>
          </reference>
        </references>
      </pivotArea>
    </chartFormat>
    <chartFormat chart="44" format="4">
      <pivotArea type="data" outline="0" fieldPosition="0">
        <references count="2">
          <reference field="4294967294" count="1" selected="0">
            <x v="0"/>
          </reference>
          <reference field="8" count="1" selected="0">
            <x v="2"/>
          </reference>
        </references>
      </pivotArea>
    </chartFormat>
    <chartFormat chart="44" format="5">
      <pivotArea type="data" outline="0" fieldPosition="0">
        <references count="2">
          <reference field="4294967294" count="1" selected="0">
            <x v="1"/>
          </reference>
          <reference field="8" count="1" selected="0">
            <x v="0"/>
          </reference>
        </references>
      </pivotArea>
    </chartFormat>
    <chartFormat chart="44" format="6">
      <pivotArea type="data" outline="0" fieldPosition="0">
        <references count="2">
          <reference field="4294967294" count="1" selected="0">
            <x v="1"/>
          </reference>
          <reference field="8" count="1" selected="0">
            <x v="1"/>
          </reference>
        </references>
      </pivotArea>
    </chartFormat>
    <chartFormat chart="44" format="7">
      <pivotArea type="data" outline="0" fieldPosition="0">
        <references count="2">
          <reference field="4294967294" count="1" selected="0">
            <x v="1"/>
          </reference>
          <reference field="8" count="1" selected="0">
            <x v="2"/>
          </reference>
        </references>
      </pivotArea>
    </chartFormat>
    <chartFormat chart="44" format="8">
      <pivotArea type="data" outline="0" fieldPosition="0">
        <references count="2">
          <reference field="4294967294" count="1" selected="0">
            <x v="0"/>
          </reference>
          <reference field="8" count="1" selected="0">
            <x v="3"/>
          </reference>
        </references>
      </pivotArea>
    </chartFormat>
    <chartFormat chart="44" format="9">
      <pivotArea type="data" outline="0" fieldPosition="0">
        <references count="2">
          <reference field="4294967294" count="1" selected="0">
            <x v="1"/>
          </reference>
          <reference field="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1"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B161:C167" firstHeaderRow="1" firstDataRow="1" firstDataCol="1" rowPageCount="4" colPageCount="1"/>
  <pivotFields count="103">
    <pivotField axis="axisPage" showAll="0">
      <items count="21">
        <item x="0"/>
        <item x="1"/>
        <item x="2"/>
        <item x="4"/>
        <item x="5"/>
        <item m="1" x="19"/>
        <item x="6"/>
        <item x="7"/>
        <item x="8"/>
        <item x="9"/>
        <item x="10"/>
        <item x="11"/>
        <item x="12"/>
        <item x="13"/>
        <item x="14"/>
        <item x="15"/>
        <item x="16"/>
        <item x="17"/>
        <item x="18"/>
        <item x="3"/>
        <item t="default"/>
      </items>
    </pivotField>
    <pivotField showAll="0"/>
    <pivotField showAll="0"/>
    <pivotField showAll="0"/>
    <pivotField showAll="0"/>
    <pivotField showAll="0"/>
    <pivotField axis="axisPage" multipleItemSelectionAllowed="1" showAll="0">
      <items count="5">
        <item x="0"/>
        <item x="2"/>
        <item x="1"/>
        <item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axis="axisRow" dataField="1" showAll="0">
      <items count="8">
        <item x="1"/>
        <item m="1" x="5"/>
        <item x="3"/>
        <item x="2"/>
        <item x="4"/>
        <item x="0"/>
        <item m="1" x="6"/>
        <item t="default"/>
      </items>
    </pivotField>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8"/>
  </rowFields>
  <rowItems count="6">
    <i>
      <x/>
    </i>
    <i>
      <x v="2"/>
    </i>
    <i>
      <x v="3"/>
    </i>
    <i>
      <x v="4"/>
    </i>
    <i>
      <x v="5"/>
    </i>
    <i t="grand">
      <x/>
    </i>
  </rowItems>
  <colItems count="1">
    <i/>
  </colItems>
  <pageFields count="4">
    <pageField fld="7" hier="-1"/>
    <pageField fld="0" hier="-1"/>
    <pageField fld="6" hier="-1"/>
    <pageField fld="21" hier="-1"/>
  </pageFields>
  <dataFields count="1">
    <dataField name="Count of Rank coverage" fld="38" subtotal="count" baseField="0" baseItem="0" numFmtId="1"/>
  </dataFields>
  <formats count="4">
    <format dxfId="211">
      <pivotArea outline="0" collapsedLevelsAreSubtotals="1" fieldPosition="0"/>
    </format>
    <format dxfId="210">
      <pivotArea field="6" type="button" dataOnly="0" labelOnly="1" outline="0" axis="axisPage" fieldPosition="2"/>
    </format>
    <format dxfId="209">
      <pivotArea outline="0" collapsedLevelsAreSubtotals="1" fieldPosition="0"/>
    </format>
    <format dxfId="208">
      <pivotArea outline="0" collapsedLevelsAreSubtotals="1" fieldPosition="0"/>
    </format>
  </formats>
  <chartFormats count="7">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38" count="1" selected="0">
            <x v="0"/>
          </reference>
        </references>
      </pivotArea>
    </chartFormat>
    <chartFormat chart="8" format="2">
      <pivotArea type="data" outline="0" fieldPosition="0">
        <references count="2">
          <reference field="4294967294" count="1" selected="0">
            <x v="0"/>
          </reference>
          <reference field="38" count="1" selected="0">
            <x v="1"/>
          </reference>
        </references>
      </pivotArea>
    </chartFormat>
    <chartFormat chart="8" format="3">
      <pivotArea type="data" outline="0" fieldPosition="0">
        <references count="2">
          <reference field="4294967294" count="1" selected="0">
            <x v="0"/>
          </reference>
          <reference field="38" count="1" selected="0">
            <x v="3"/>
          </reference>
        </references>
      </pivotArea>
    </chartFormat>
    <chartFormat chart="8" format="4">
      <pivotArea type="data" outline="0" fieldPosition="0">
        <references count="2">
          <reference field="4294967294" count="1" selected="0">
            <x v="0"/>
          </reference>
          <reference field="38" count="1" selected="0">
            <x v="4"/>
          </reference>
        </references>
      </pivotArea>
    </chartFormat>
    <chartFormat chart="8" format="5">
      <pivotArea type="data" outline="0" fieldPosition="0">
        <references count="2">
          <reference field="4294967294" count="1" selected="0">
            <x v="0"/>
          </reference>
          <reference field="38" count="1" selected="0">
            <x v="5"/>
          </reference>
        </references>
      </pivotArea>
    </chartFormat>
    <chartFormat chart="8" format="6">
      <pivotArea type="data" outline="0" fieldPosition="0">
        <references count="2">
          <reference field="4294967294" count="1" selected="0">
            <x v="0"/>
          </reference>
          <reference field="3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6"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8">
  <location ref="B178:D181" firstHeaderRow="0" firstDataRow="1" firstDataCol="1" rowPageCount="2" colPageCount="1"/>
  <pivotFields count="103">
    <pivotField showAll="0"/>
    <pivotField showAll="0"/>
    <pivotField showAll="0"/>
    <pivotField showAll="0"/>
    <pivotField showAll="0"/>
    <pivotField showAll="0"/>
    <pivotField axis="axisPage" multipleItemSelectionAllowed="1" showAll="0">
      <items count="5">
        <item x="0"/>
        <item h="1" x="2"/>
        <item h="1" x="1"/>
        <item h="1"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21" hier="-1"/>
  </pageFields>
  <dataFields count="2">
    <dataField name="% Water Need coverage" fld="93" baseField="0" baseItem="0" numFmtId="1"/>
    <dataField name="% Coverage projection end of project" fld="100" baseField="0" baseItem="0"/>
  </dataFields>
  <formats count="7">
    <format dxfId="218">
      <pivotArea outline="0" collapsedLevelsAreSubtotals="1" fieldPosition="0"/>
    </format>
    <format dxfId="217">
      <pivotArea field="7" type="button" dataOnly="0" labelOnly="1" outline="0" axis="axisRow" fieldPosition="0"/>
    </format>
    <format dxfId="216">
      <pivotArea dataOnly="0" labelOnly="1" outline="0" fieldPosition="0">
        <references count="1">
          <reference field="4294967294" count="2">
            <x v="0"/>
            <x v="1"/>
          </reference>
        </references>
      </pivotArea>
    </format>
    <format dxfId="215">
      <pivotArea outline="0" collapsedLevelsAreSubtotals="1" fieldPosition="0"/>
    </format>
    <format dxfId="214">
      <pivotArea dataOnly="0" labelOnly="1" outline="0" fieldPosition="0">
        <references count="1">
          <reference field="4294967294" count="2">
            <x v="0"/>
            <x v="1"/>
          </reference>
        </references>
      </pivotArea>
    </format>
    <format dxfId="213">
      <pivotArea outline="0" collapsedLevelsAreSubtotals="1" fieldPosition="0"/>
    </format>
    <format dxfId="212">
      <pivotArea dataOnly="0" labelOnly="1" outline="0" fieldPosition="0">
        <references count="1">
          <reference field="4294967294" count="2">
            <x v="0"/>
            <x v="1"/>
          </reference>
        </references>
      </pivotArea>
    </format>
  </formats>
  <chartFormats count="2">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2"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118:E124" firstHeaderRow="0" firstDataRow="1" firstDataCol="1" rowPageCount="3" colPageCount="1"/>
  <pivotFields count="103">
    <pivotField showAll="0"/>
    <pivotField showAll="0"/>
    <pivotField showAll="0"/>
    <pivotField showAll="0"/>
    <pivotField showAll="0"/>
    <pivotField showAll="0"/>
    <pivotField axis="axisPage" multipleItemSelectionAllowed="1" showAll="0">
      <items count="5">
        <item x="0"/>
        <item h="1" x="2"/>
        <item h="1" x="1"/>
        <item h="1"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axis="axisRow" showAll="0">
      <items count="7">
        <item x="1"/>
        <item x="0"/>
        <item x="3"/>
        <item x="2"/>
        <item x="4"/>
        <item m="1" x="5"/>
        <item t="default"/>
      </items>
    </pivotField>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
  </rowFields>
  <rowItems count="6">
    <i>
      <x/>
    </i>
    <i>
      <x v="1"/>
    </i>
    <i>
      <x v="2"/>
    </i>
    <i>
      <x v="3"/>
    </i>
    <i>
      <x v="4"/>
    </i>
    <i t="grand">
      <x/>
    </i>
  </rowItems>
  <colFields count="1">
    <field x="-2"/>
  </colFields>
  <colItems count="3">
    <i>
      <x/>
    </i>
    <i i="1">
      <x v="1"/>
    </i>
    <i i="2">
      <x v="2"/>
    </i>
  </colItems>
  <pageFields count="3">
    <pageField fld="6" hier="-1"/>
    <pageField fld="7" hier="-1"/>
    <pageField fld="21" hier="-1"/>
  </pageFields>
  <dataFields count="3">
    <dataField name="% Water Need coverage" fld="93" baseField="0" baseItem="0" numFmtId="1"/>
    <dataField name="% Latrine need coverage" fld="94" baseField="0" baseItem="0" numFmtId="1"/>
    <dataField name="% Bathroom need coverage" fld="95" baseField="0" baseItem="0" numFmtId="1"/>
  </dataFields>
  <formats count="6">
    <format dxfId="224">
      <pivotArea outline="0" collapsedLevelsAreSubtotals="1" fieldPosition="0"/>
    </format>
    <format dxfId="223">
      <pivotArea field="14" type="button" dataOnly="0" labelOnly="1" outline="0" axis="axisRow" fieldPosition="0"/>
    </format>
    <format dxfId="222">
      <pivotArea dataOnly="0" labelOnly="1" outline="0" fieldPosition="0">
        <references count="1">
          <reference field="4294967294" count="3">
            <x v="0"/>
            <x v="1"/>
            <x v="2"/>
          </reference>
        </references>
      </pivotArea>
    </format>
    <format dxfId="221">
      <pivotArea outline="0" collapsedLevelsAreSubtotals="1" fieldPosition="0"/>
    </format>
    <format dxfId="220">
      <pivotArea dataOnly="0" labelOnly="1" outline="0" fieldPosition="0">
        <references count="1">
          <reference field="4294967294" count="3">
            <x v="0"/>
            <x v="1"/>
            <x v="2"/>
          </reference>
        </references>
      </pivotArea>
    </format>
    <format dxfId="219">
      <pivotArea dataOnly="0"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18" series="1">
      <pivotArea type="data" outline="0" fieldPosition="0">
        <references count="1">
          <reference field="4294967294" count="1" selected="0">
            <x v="0"/>
          </reference>
        </references>
      </pivotArea>
    </chartFormat>
    <chartFormat chart="4" format="19" series="1">
      <pivotArea type="data" outline="0" fieldPosition="0">
        <references count="1">
          <reference field="4294967294" count="1" selected="0">
            <x v="1"/>
          </reference>
        </references>
      </pivotArea>
    </chartFormat>
    <chartFormat chart="4"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0"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4">
  <location ref="B334:D337" firstHeaderRow="0" firstDataRow="1" firstDataCol="1" rowPageCount="2" colPageCount="1"/>
  <pivotFields count="103">
    <pivotField showAll="0"/>
    <pivotField showAll="0"/>
    <pivotField showAll="0"/>
    <pivotField showAll="0"/>
    <pivotField showAll="0"/>
    <pivotField showAll="0"/>
    <pivotField axis="axisPage" multipleItemSelectionAllowed="1" showAll="0">
      <items count="5">
        <item x="0"/>
        <item x="2"/>
        <item x="1"/>
        <item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21" hier="-1"/>
  </pageFields>
  <dataFields count="2">
    <dataField name="% Bathroom need coverage" fld="95" baseField="0" baseItem="0" numFmtId="1"/>
    <dataField name="% Projection Bathrrom coverage EOP" fld="102" baseField="0" baseItem="0"/>
  </dataFields>
  <formats count="5">
    <format dxfId="229">
      <pivotArea outline="0" collapsedLevelsAreSubtotals="1" fieldPosition="0"/>
    </format>
    <format dxfId="228">
      <pivotArea field="7" type="button" dataOnly="0" labelOnly="1" outline="0" axis="axisRow" fieldPosition="0"/>
    </format>
    <format dxfId="227">
      <pivotArea dataOnly="0" labelOnly="1" outline="0" fieldPosition="0">
        <references count="1">
          <reference field="4294967294" count="2">
            <x v="0"/>
            <x v="1"/>
          </reference>
        </references>
      </pivotArea>
    </format>
    <format dxfId="226">
      <pivotArea outline="0" collapsedLevelsAreSubtotals="1" fieldPosition="0"/>
    </format>
    <format dxfId="225">
      <pivotArea dataOnly="0" labelOnly="1" outline="0" fieldPosition="0">
        <references count="1">
          <reference field="4294967294" count="2">
            <x v="0"/>
            <x v="1"/>
          </reference>
        </references>
      </pivotArea>
    </format>
  </formats>
  <chartFormats count="6">
    <chartFormat chart="38" format="0" series="1">
      <pivotArea type="data" outline="0" fieldPosition="0">
        <references count="1">
          <reference field="4294967294" count="1" selected="0">
            <x v="0"/>
          </reference>
        </references>
      </pivotArea>
    </chartFormat>
    <chartFormat chart="38" format="1" series="1">
      <pivotArea type="data" outline="0" fieldPosition="0">
        <references count="1">
          <reference field="4294967294" count="1" selected="0">
            <x v="1"/>
          </reference>
        </references>
      </pivotArea>
    </chartFormat>
    <chartFormat chart="40" format="0" series="1">
      <pivotArea type="data" outline="0" fieldPosition="0">
        <references count="1">
          <reference field="4294967294" count="1" selected="0">
            <x v="0"/>
          </reference>
        </references>
      </pivotArea>
    </chartFormat>
    <chartFormat chart="40" format="1" series="1">
      <pivotArea type="data" outline="0" fieldPosition="0">
        <references count="1">
          <reference field="4294967294" count="1" selected="0">
            <x v="1"/>
          </reference>
        </references>
      </pivotArea>
    </chartFormat>
    <chartFormat chart="42" format="0" series="1">
      <pivotArea type="data" outline="0" fieldPosition="0">
        <references count="1">
          <reference field="4294967294" count="1" selected="0">
            <x v="0"/>
          </reference>
        </references>
      </pivotArea>
    </chartFormat>
    <chartFormat chart="4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0"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304:D307" firstHeaderRow="0" firstDataRow="1" firstDataCol="1" rowPageCount="2" colPageCount="1"/>
  <pivotFields count="103">
    <pivotField showAll="0"/>
    <pivotField showAll="0"/>
    <pivotField showAll="0"/>
    <pivotField showAll="0"/>
    <pivotField showAll="0"/>
    <pivotField showAll="0"/>
    <pivotField axis="axisPage" multipleItemSelectionAllowed="1" showAll="0">
      <items count="5">
        <item x="0"/>
        <item x="2"/>
        <item x="1"/>
        <item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21" hier="-1"/>
  </pageFields>
  <dataFields count="2">
    <dataField name="%Coverage Permanent Latrine" fld="96" baseField="0" baseItem="0" numFmtId="9"/>
    <dataField name="% Coverage Emergency latrine" fld="97" baseField="0" baseItem="0" numFmtId="1"/>
  </dataFields>
  <formats count="5">
    <format dxfId="234">
      <pivotArea outline="0" collapsedLevelsAreSubtotals="1" fieldPosition="0"/>
    </format>
    <format dxfId="233">
      <pivotArea field="7" type="button" dataOnly="0" labelOnly="1" outline="0" axis="axisRow" fieldPosition="0"/>
    </format>
    <format dxfId="232">
      <pivotArea dataOnly="0" labelOnly="1" outline="0" fieldPosition="0">
        <references count="1">
          <reference field="4294967294" count="2">
            <x v="0"/>
            <x v="1"/>
          </reference>
        </references>
      </pivotArea>
    </format>
    <format dxfId="231">
      <pivotArea outline="0" collapsedLevelsAreSubtotals="1" fieldPosition="0"/>
    </format>
    <format dxfId="230">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4"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4">
  <location ref="B458:B461" firstHeaderRow="1" firstDataRow="1" firstDataCol="1" rowPageCount="2" colPageCount="1"/>
  <pivotFields count="103">
    <pivotField showAll="0"/>
    <pivotField showAll="0"/>
    <pivotField showAll="0"/>
    <pivotField showAll="0"/>
    <pivotField showAll="0"/>
    <pivotField showAll="0"/>
    <pivotField axis="axisPage" multipleItemSelectionAllowed="1" showAll="0">
      <items count="5">
        <item x="0"/>
        <item h="1" x="2"/>
        <item h="1" x="1"/>
        <item h="1"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Items count="1">
    <i/>
  </colItems>
  <pageFields count="2">
    <pageField fld="6" hier="-1"/>
    <pageField fld="21" hier="-1"/>
  </pageFields>
  <formats count="4">
    <format dxfId="238">
      <pivotArea outline="0" collapsedLevelsAreSubtotals="1" fieldPosition="0"/>
    </format>
    <format dxfId="237">
      <pivotArea dataOnly="0" labelOnly="1" outline="0" axis="axisValues" fieldPosition="0"/>
    </format>
    <format dxfId="236">
      <pivotArea outline="0" collapsedLevelsAreSubtotals="1" fieldPosition="0"/>
    </format>
    <format dxfId="23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7"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06:E610" firstHeaderRow="1" firstDataRow="2" firstDataCol="1" rowPageCount="2" colPageCount="1"/>
  <pivotFields count="103">
    <pivotField showAll="0"/>
    <pivotField showAll="0"/>
    <pivotField axis="axisPage" showAll="0">
      <items count="11">
        <item x="2"/>
        <item x="1"/>
        <item x="9"/>
        <item x="7"/>
        <item x="0"/>
        <item x="8"/>
        <item x="4"/>
        <item x="5"/>
        <item x="3"/>
        <item x="6"/>
        <item t="default"/>
      </items>
    </pivotField>
    <pivotField showAll="0"/>
    <pivotField showAll="0"/>
    <pivotField showAll="0"/>
    <pivotField axis="axisPage" multipleItemSelectionAllowed="1" showAll="0">
      <items count="5">
        <item x="0"/>
        <item x="2"/>
        <item x="1"/>
        <item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dataField="1" showAll="0"/>
    <pivotField showAll="0"/>
    <pivotField showAll="0" defaultSubtotal="0"/>
    <pivotField showAll="0"/>
    <pivotField showAll="0"/>
    <pivotField axis="axisCol" showAll="0" defaultSubtotal="0">
      <items count="2">
        <item x="0"/>
        <item x="1"/>
      </items>
    </pivotField>
    <pivotField showAll="0" defaultSubtotal="0"/>
    <pivotField showAll="0"/>
    <pivotField showAll="0" defaultSubtotal="0"/>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8"/>
  </colFields>
  <colItems count="3">
    <i>
      <x/>
    </i>
    <i>
      <x v="1"/>
    </i>
    <i t="grand">
      <x/>
    </i>
  </colItems>
  <pageFields count="2">
    <pageField fld="6" hier="-1"/>
    <pageField fld="2" hier="-1"/>
  </pageFields>
  <dataFields count="1">
    <dataField name="Sum of Total PoP" fld="13" baseField="0" baseItem="0" numFmtId="1"/>
  </dataFields>
  <formats count="3">
    <format dxfId="241">
      <pivotArea outline="0" collapsedLevelsAreSubtotals="1" fieldPosition="0"/>
    </format>
    <format dxfId="240">
      <pivotArea outline="0" collapsedLevelsAreSubtotals="1" fieldPosition="0"/>
    </format>
    <format dxfId="239">
      <pivotArea outline="0" collapsedLevelsAreSubtotals="1" fieldPosition="0"/>
    </format>
  </formats>
  <chartFormats count="6">
    <chartFormat chart="44" format="0" series="1">
      <pivotArea type="data" outline="0" fieldPosition="0">
        <references count="2">
          <reference field="4294967294" count="1" selected="0">
            <x v="0"/>
          </reference>
          <reference field="18" count="1" selected="0">
            <x v="0"/>
          </reference>
        </references>
      </pivotArea>
    </chartFormat>
    <chartFormat chart="44" format="1" series="1">
      <pivotArea type="data" outline="0" fieldPosition="0">
        <references count="2">
          <reference field="4294967294" count="1" selected="0">
            <x v="0"/>
          </reference>
          <reference field="18" count="1" selected="0">
            <x v="1"/>
          </reference>
        </references>
      </pivotArea>
    </chartFormat>
    <chartFormat chart="47" format="4" series="1">
      <pivotArea type="data" outline="0" fieldPosition="0">
        <references count="2">
          <reference field="4294967294" count="1" selected="0">
            <x v="0"/>
          </reference>
          <reference field="18" count="1" selected="0">
            <x v="0"/>
          </reference>
        </references>
      </pivotArea>
    </chartFormat>
    <chartFormat chart="47" format="5" series="1">
      <pivotArea type="data" outline="0" fieldPosition="0">
        <references count="2">
          <reference field="4294967294" count="1" selected="0">
            <x v="0"/>
          </reference>
          <reference field="18" count="1" selected="0">
            <x v="1"/>
          </reference>
        </references>
      </pivotArea>
    </chartFormat>
    <chartFormat chart="49" format="4" series="1">
      <pivotArea type="data" outline="0" fieldPosition="0">
        <references count="2">
          <reference field="4294967294" count="1" selected="0">
            <x v="0"/>
          </reference>
          <reference field="18" count="1" selected="0">
            <x v="0"/>
          </reference>
        </references>
      </pivotArea>
    </chartFormat>
    <chartFormat chart="49" format="5" series="1">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28"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57:E661" firstHeaderRow="1" firstDataRow="2" firstDataCol="1" rowPageCount="2" colPageCount="1"/>
  <pivotFields count="103">
    <pivotField showAll="0"/>
    <pivotField showAll="0"/>
    <pivotField axis="axisPage" showAll="0">
      <items count="11">
        <item x="2"/>
        <item x="1"/>
        <item x="9"/>
        <item x="7"/>
        <item x="0"/>
        <item x="8"/>
        <item x="4"/>
        <item x="5"/>
        <item x="3"/>
        <item x="6"/>
        <item t="default"/>
      </items>
    </pivotField>
    <pivotField showAll="0"/>
    <pivotField showAll="0"/>
    <pivotField showAll="0"/>
    <pivotField axis="axisPage" multipleItemSelectionAllowed="1" showAll="0">
      <items count="5">
        <item x="0"/>
        <item x="2"/>
        <item x="1"/>
        <item m="1" x="3"/>
        <item t="default"/>
      </items>
    </pivotField>
    <pivotField axis="axisRow"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Col" dataField="1"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1"/>
  </colFields>
  <colItems count="3">
    <i>
      <x/>
    </i>
    <i>
      <x v="1"/>
    </i>
    <i t="grand">
      <x/>
    </i>
  </colItems>
  <pageFields count="2">
    <pageField fld="6" hier="-1"/>
    <pageField fld="2" hier="-1"/>
  </pageFields>
  <dataFields count="1">
    <dataField name="Count of Documented" fld="21" subtotal="count" baseField="0" baseItem="0"/>
  </dataFields>
  <formats count="3">
    <format dxfId="244">
      <pivotArea outline="0" collapsedLevelsAreSubtotals="1" fieldPosition="0"/>
    </format>
    <format dxfId="243">
      <pivotArea outline="0" collapsedLevelsAreSubtotals="1" fieldPosition="0"/>
    </format>
    <format dxfId="242">
      <pivotArea outline="0" collapsedLevelsAreSubtotals="1" fieldPosition="0"/>
    </format>
  </formats>
  <chartFormats count="2">
    <chartFormat chart="48" format="0" series="1">
      <pivotArea type="data" outline="0" fieldPosition="0">
        <references count="2">
          <reference field="4294967294" count="1" selected="0">
            <x v="0"/>
          </reference>
          <reference field="21" count="1" selected="0">
            <x v="0"/>
          </reference>
        </references>
      </pivotArea>
    </chartFormat>
    <chartFormat chart="48" format="1" series="1">
      <pivotArea type="data" outline="0" fieldPosition="0">
        <references count="2">
          <reference field="4294967294" count="1" selected="0">
            <x v="0"/>
          </reference>
          <reference field="2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3"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350:C370" firstHeaderRow="1" firstDataRow="1" firstDataCol="1" rowPageCount="3" colPageCount="1"/>
  <pivotFields count="103">
    <pivotField axis="axisRow" showAll="0">
      <items count="21">
        <item x="0"/>
        <item x="1"/>
        <item x="2"/>
        <item x="4"/>
        <item x="5"/>
        <item m="1" x="19"/>
        <item x="6"/>
        <item x="7"/>
        <item x="8"/>
        <item x="9"/>
        <item x="10"/>
        <item x="11"/>
        <item x="12"/>
        <item x="13"/>
        <item x="14"/>
        <item x="15"/>
        <item x="16"/>
        <item x="17"/>
        <item x="18"/>
        <item x="3"/>
        <item t="default"/>
      </items>
    </pivotField>
    <pivotField showAll="0"/>
    <pivotField showAll="0"/>
    <pivotField showAll="0"/>
    <pivotField showAll="0"/>
    <pivotField showAll="0"/>
    <pivotField axis="axisPage" multipleItemSelectionAllowed="1" showAll="0">
      <items count="5">
        <item x="0"/>
        <item h="1" x="2"/>
        <item h="1" x="1"/>
        <item h="1" m="1" x="3"/>
        <item t="default"/>
      </items>
    </pivotField>
    <pivotField axis="axisPage" multipleItemSelectionAllowed="1"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6"/>
    </i>
    <i>
      <x v="7"/>
    </i>
    <i>
      <x v="8"/>
    </i>
    <i>
      <x v="9"/>
    </i>
    <i>
      <x v="10"/>
    </i>
    <i>
      <x v="11"/>
    </i>
    <i>
      <x v="12"/>
    </i>
    <i>
      <x v="13"/>
    </i>
    <i>
      <x v="14"/>
    </i>
    <i>
      <x v="15"/>
    </i>
    <i>
      <x v="16"/>
    </i>
    <i>
      <x v="17"/>
    </i>
    <i>
      <x v="18"/>
    </i>
    <i>
      <x v="19"/>
    </i>
    <i t="grand">
      <x/>
    </i>
  </rowItems>
  <colItems count="1">
    <i/>
  </colItems>
  <pageFields count="3">
    <pageField fld="6" hier="-1"/>
    <pageField fld="7" hier="-1"/>
    <pageField fld="21" hier="-1"/>
  </pageFields>
  <dataFields count="1">
    <dataField name="Sum of Coverage Full HK %" fld="98" baseField="0" baseItem="0"/>
  </dataFields>
  <formats count="2">
    <format dxfId="115">
      <pivotArea outline="0" collapsedLevelsAreSubtotals="1" fieldPosition="0"/>
    </format>
    <format dxfId="114">
      <pivotArea outline="0" collapsedLevelsAreSubtotals="1" fieldPosition="0"/>
    </format>
  </formats>
  <chartFormats count="1">
    <chartFormat chart="2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2">
  <location ref="B713:F736" firstHeaderRow="0" firstDataRow="1" firstDataCol="1" rowPageCount="2" colPageCount="1"/>
  <pivotFields count="103">
    <pivotField axis="axisPage" showAll="0">
      <items count="21">
        <item x="0"/>
        <item x="1"/>
        <item x="2"/>
        <item x="4"/>
        <item x="5"/>
        <item m="1" x="19"/>
        <item x="6"/>
        <item x="7"/>
        <item x="8"/>
        <item x="9"/>
        <item x="10"/>
        <item x="11"/>
        <item x="12"/>
        <item x="13"/>
        <item x="14"/>
        <item x="15"/>
        <item x="16"/>
        <item x="17"/>
        <item x="18"/>
        <item x="3"/>
        <item t="default"/>
      </items>
    </pivotField>
    <pivotField showAll="0"/>
    <pivotField axis="axisRow" showAll="0">
      <items count="11">
        <item x="2"/>
        <item x="9"/>
        <item x="7"/>
        <item x="0"/>
        <item x="8"/>
        <item x="4"/>
        <item x="5"/>
        <item x="3"/>
        <item x="6"/>
        <item x="1"/>
        <item t="default"/>
      </items>
    </pivotField>
    <pivotField showAll="0"/>
    <pivotField showAll="0"/>
    <pivotField showAll="0"/>
    <pivotField axis="axisRow" dataField="1" multipleItemSelectionAllowed="1" showAll="0">
      <items count="5">
        <item sd="0" x="0"/>
        <item sd="0" x="2"/>
        <item sd="0" x="1"/>
        <item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dataField="1" showAll="0"/>
    <pivotField showAll="0"/>
    <pivotField showAll="0" defaultSubtotal="0"/>
    <pivotField showAll="0"/>
    <pivotField axis="axisRow" showAll="0">
      <items count="10">
        <item m="1" x="8"/>
        <item x="7"/>
        <item x="3"/>
        <item x="1"/>
        <item x="2"/>
        <item x="6"/>
        <item x="4"/>
        <item x="0"/>
        <item x="5"/>
        <item t="default"/>
      </items>
    </pivotField>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17"/>
    <field x="6"/>
    <field x="2"/>
  </rowFields>
  <rowItems count="23">
    <i>
      <x v="1"/>
    </i>
    <i r="1">
      <x/>
    </i>
    <i>
      <x v="2"/>
    </i>
    <i r="1">
      <x/>
    </i>
    <i>
      <x v="3"/>
    </i>
    <i r="1">
      <x/>
    </i>
    <i r="1">
      <x v="1"/>
    </i>
    <i>
      <x v="4"/>
    </i>
    <i r="1">
      <x/>
    </i>
    <i r="1">
      <x v="1"/>
    </i>
    <i r="1">
      <x v="2"/>
    </i>
    <i>
      <x v="5"/>
    </i>
    <i r="1">
      <x/>
    </i>
    <i>
      <x v="6"/>
    </i>
    <i r="1">
      <x/>
    </i>
    <i>
      <x v="7"/>
    </i>
    <i r="1">
      <x/>
    </i>
    <i r="1">
      <x v="1"/>
    </i>
    <i>
      <x v="8"/>
    </i>
    <i r="1">
      <x/>
    </i>
    <i r="1">
      <x v="1"/>
    </i>
    <i r="1">
      <x v="2"/>
    </i>
    <i t="grand">
      <x/>
    </i>
  </rowItems>
  <colFields count="1">
    <field x="-2"/>
  </colFields>
  <colItems count="4">
    <i>
      <x/>
    </i>
    <i i="1">
      <x v="1"/>
    </i>
    <i i="2">
      <x v="2"/>
    </i>
    <i i="3">
      <x v="3"/>
    </i>
  </colItems>
  <pageFields count="2">
    <pageField fld="7" hier="-1"/>
    <pageField fld="0" hier="-1"/>
  </pageFields>
  <dataFields count="4">
    <dataField name="Nb of sites" fld="6" subtotal="count" baseField="0" baseItem="0"/>
    <dataField name="Population targetted" fld="13" baseField="0" baseItem="0"/>
    <dataField name="% Water Need coverage" fld="93" baseField="0" baseItem="0" numFmtId="9"/>
    <dataField name="% Latrine need coverage" fld="94" baseField="0" baseItem="0"/>
  </dataFields>
  <formats count="45">
    <format dxfId="289">
      <pivotArea outline="0" collapsedLevelsAreSubtotals="1" fieldPosition="0"/>
    </format>
    <format dxfId="288">
      <pivotArea outline="0" collapsedLevelsAreSubtotals="1" fieldPosition="0"/>
    </format>
    <format dxfId="287">
      <pivotArea outline="0" collapsedLevelsAreSubtotals="1" fieldPosition="0"/>
    </format>
    <format dxfId="286">
      <pivotArea outline="0" collapsedLevelsAreSubtotals="1" fieldPosition="0">
        <references count="2">
          <reference field="4294967294" count="2" selected="0">
            <x v="2"/>
            <x v="3"/>
          </reference>
          <reference field="6" count="1" selected="0">
            <x v="0"/>
          </reference>
        </references>
      </pivotArea>
    </format>
    <format dxfId="285">
      <pivotArea dataOnly="0" labelOnly="1" fieldPosition="0">
        <references count="1">
          <reference field="6" count="1">
            <x v="1"/>
          </reference>
        </references>
      </pivotArea>
    </format>
    <format dxfId="284">
      <pivotArea dataOnly="0" labelOnly="1" fieldPosition="0">
        <references count="1">
          <reference field="6" count="1">
            <x v="0"/>
          </reference>
        </references>
      </pivotArea>
    </format>
    <format dxfId="283">
      <pivotArea outline="0" collapsedLevelsAreSubtotals="1" fieldPosition="0">
        <references count="2">
          <reference field="4294967294" count="2" selected="0">
            <x v="2"/>
            <x v="3"/>
          </reference>
          <reference field="6" count="1" selected="0">
            <x v="1"/>
          </reference>
        </references>
      </pivotArea>
    </format>
    <format dxfId="282">
      <pivotArea outline="0" fieldPosition="0">
        <references count="1">
          <reference field="4294967294" count="1">
            <x v="2"/>
          </reference>
        </references>
      </pivotArea>
    </format>
    <format dxfId="281">
      <pivotArea field="17" type="button" dataOnly="0" labelOnly="1" outline="0" axis="axisRow" fieldPosition="0"/>
    </format>
    <format dxfId="280">
      <pivotArea field="6" dataOnly="0" labelOnly="1" outline="0" axis="axisRow" fieldPosition="1">
        <references count="1">
          <reference field="4294967294" count="1" selected="0">
            <x v="0"/>
          </reference>
        </references>
      </pivotArea>
    </format>
    <format dxfId="279">
      <pivotArea field="6" dataOnly="0" labelOnly="1" outline="0" axis="axisRow" fieldPosition="1">
        <references count="1">
          <reference field="4294967294" count="1" selected="0">
            <x v="1"/>
          </reference>
        </references>
      </pivotArea>
    </format>
    <format dxfId="278">
      <pivotArea field="6" dataOnly="0" labelOnly="1" outline="0" axis="axisRow" fieldPosition="1">
        <references count="1">
          <reference field="4294967294" count="1" selected="0">
            <x v="2"/>
          </reference>
        </references>
      </pivotArea>
    </format>
    <format dxfId="277">
      <pivotArea field="6" dataOnly="0" labelOnly="1" outline="0" axis="axisRow" fieldPosition="1">
        <references count="1">
          <reference field="4294967294" count="1" selected="0">
            <x v="3"/>
          </reference>
        </references>
      </pivotArea>
    </format>
    <format dxfId="276">
      <pivotArea dataOnly="0" labelOnly="1" outline="0" fieldPosition="0">
        <references count="2">
          <reference field="4294967294" count="4">
            <x v="0"/>
            <x v="1"/>
            <x v="2"/>
            <x v="3"/>
          </reference>
          <reference field="6" count="1" selected="0">
            <x v="0"/>
          </reference>
        </references>
      </pivotArea>
    </format>
    <format dxfId="275">
      <pivotArea dataOnly="0" labelOnly="1" outline="0" fieldPosition="0">
        <references count="2">
          <reference field="4294967294" count="4">
            <x v="0"/>
            <x v="1"/>
            <x v="2"/>
            <x v="3"/>
          </reference>
          <reference field="6" count="1" selected="0">
            <x v="1"/>
          </reference>
        </references>
      </pivotArea>
    </format>
    <format dxfId="274">
      <pivotArea dataOnly="0" labelOnly="1" outline="0" fieldPosition="0">
        <references count="2">
          <reference field="4294967294" count="4">
            <x v="0"/>
            <x v="1"/>
            <x v="2"/>
            <x v="3"/>
          </reference>
          <reference field="6" count="1" selected="0">
            <x v="2"/>
          </reference>
        </references>
      </pivotArea>
    </format>
    <format dxfId="273">
      <pivotArea field="17" type="button" dataOnly="0" labelOnly="1" outline="0" axis="axisRow" fieldPosition="0"/>
    </format>
    <format dxfId="272">
      <pivotArea field="6" dataOnly="0" labelOnly="1" outline="0" axis="axisRow" fieldPosition="1">
        <references count="1">
          <reference field="4294967294" count="1" selected="0">
            <x v="0"/>
          </reference>
        </references>
      </pivotArea>
    </format>
    <format dxfId="271">
      <pivotArea field="6" dataOnly="0" labelOnly="1" outline="0" axis="axisRow" fieldPosition="1">
        <references count="1">
          <reference field="4294967294" count="1" selected="0">
            <x v="1"/>
          </reference>
        </references>
      </pivotArea>
    </format>
    <format dxfId="270">
      <pivotArea field="6" dataOnly="0" labelOnly="1" outline="0" axis="axisRow" fieldPosition="1">
        <references count="1">
          <reference field="4294967294" count="1" selected="0">
            <x v="2"/>
          </reference>
        </references>
      </pivotArea>
    </format>
    <format dxfId="269">
      <pivotArea field="6" dataOnly="0" labelOnly="1" outline="0" axis="axisRow" fieldPosition="1">
        <references count="1">
          <reference field="4294967294" count="1" selected="0">
            <x v="3"/>
          </reference>
        </references>
      </pivotArea>
    </format>
    <format dxfId="268">
      <pivotArea dataOnly="0" labelOnly="1" outline="0" fieldPosition="0">
        <references count="2">
          <reference field="4294967294" count="4">
            <x v="0"/>
            <x v="1"/>
            <x v="2"/>
            <x v="3"/>
          </reference>
          <reference field="6" count="1" selected="0">
            <x v="0"/>
          </reference>
        </references>
      </pivotArea>
    </format>
    <format dxfId="267">
      <pivotArea dataOnly="0" labelOnly="1" outline="0" fieldPosition="0">
        <references count="2">
          <reference field="4294967294" count="4">
            <x v="0"/>
            <x v="1"/>
            <x v="2"/>
            <x v="3"/>
          </reference>
          <reference field="6" count="1" selected="0">
            <x v="1"/>
          </reference>
        </references>
      </pivotArea>
    </format>
    <format dxfId="266">
      <pivotArea dataOnly="0" labelOnly="1" outline="0" fieldPosition="0">
        <references count="2">
          <reference field="4294967294" count="4">
            <x v="0"/>
            <x v="1"/>
            <x v="2"/>
            <x v="3"/>
          </reference>
          <reference field="6" count="1" selected="0">
            <x v="2"/>
          </reference>
        </references>
      </pivotArea>
    </format>
    <format dxfId="265">
      <pivotArea field="17" type="button" dataOnly="0" labelOnly="1" outline="0" axis="axisRow" fieldPosition="0"/>
    </format>
    <format dxfId="264">
      <pivotArea field="6" dataOnly="0" labelOnly="1" outline="0" axis="axisRow" fieldPosition="1">
        <references count="1">
          <reference field="4294967294" count="1" selected="0">
            <x v="0"/>
          </reference>
        </references>
      </pivotArea>
    </format>
    <format dxfId="263">
      <pivotArea field="6" dataOnly="0" labelOnly="1" outline="0" axis="axisRow" fieldPosition="1">
        <references count="1">
          <reference field="4294967294" count="1" selected="0">
            <x v="1"/>
          </reference>
        </references>
      </pivotArea>
    </format>
    <format dxfId="262">
      <pivotArea field="6" dataOnly="0" labelOnly="1" outline="0" axis="axisRow" fieldPosition="1">
        <references count="1">
          <reference field="4294967294" count="1" selected="0">
            <x v="2"/>
          </reference>
        </references>
      </pivotArea>
    </format>
    <format dxfId="261">
      <pivotArea field="6" dataOnly="0" labelOnly="1" outline="0" axis="axisRow" fieldPosition="1">
        <references count="1">
          <reference field="4294967294" count="1" selected="0">
            <x v="3"/>
          </reference>
        </references>
      </pivotArea>
    </format>
    <format dxfId="260">
      <pivotArea dataOnly="0" labelOnly="1" outline="0" fieldPosition="0">
        <references count="2">
          <reference field="4294967294" count="4">
            <x v="0"/>
            <x v="1"/>
            <x v="2"/>
            <x v="3"/>
          </reference>
          <reference field="6" count="1" selected="0">
            <x v="0"/>
          </reference>
        </references>
      </pivotArea>
    </format>
    <format dxfId="259">
      <pivotArea dataOnly="0" labelOnly="1" outline="0" fieldPosition="0">
        <references count="2">
          <reference field="4294967294" count="4">
            <x v="0"/>
            <x v="1"/>
            <x v="2"/>
            <x v="3"/>
          </reference>
          <reference field="6" count="1" selected="0">
            <x v="1"/>
          </reference>
        </references>
      </pivotArea>
    </format>
    <format dxfId="258">
      <pivotArea dataOnly="0" labelOnly="1" outline="0" fieldPosition="0">
        <references count="2">
          <reference field="4294967294" count="4">
            <x v="0"/>
            <x v="1"/>
            <x v="2"/>
            <x v="3"/>
          </reference>
          <reference field="6" count="1" selected="0">
            <x v="2"/>
          </reference>
        </references>
      </pivotArea>
    </format>
    <format dxfId="257">
      <pivotArea field="17" type="button" dataOnly="0" labelOnly="1" outline="0" axis="axisRow" fieldPosition="0"/>
    </format>
    <format dxfId="256">
      <pivotArea field="6" dataOnly="0" labelOnly="1" outline="0" axis="axisRow" fieldPosition="1">
        <references count="1">
          <reference field="4294967294" count="1" selected="0">
            <x v="0"/>
          </reference>
        </references>
      </pivotArea>
    </format>
    <format dxfId="255">
      <pivotArea field="6" dataOnly="0" labelOnly="1" outline="0" axis="axisRow" fieldPosition="1">
        <references count="1">
          <reference field="4294967294" count="1" selected="0">
            <x v="1"/>
          </reference>
        </references>
      </pivotArea>
    </format>
    <format dxfId="254">
      <pivotArea field="6" dataOnly="0" labelOnly="1" outline="0" axis="axisRow" fieldPosition="1">
        <references count="1">
          <reference field="4294967294" count="1" selected="0">
            <x v="2"/>
          </reference>
        </references>
      </pivotArea>
    </format>
    <format dxfId="253">
      <pivotArea field="6" dataOnly="0" labelOnly="1" outline="0" axis="axisRow" fieldPosition="1">
        <references count="1">
          <reference field="4294967294" count="1" selected="0">
            <x v="3"/>
          </reference>
        </references>
      </pivotArea>
    </format>
    <format dxfId="252">
      <pivotArea dataOnly="0" labelOnly="1" outline="0" fieldPosition="0">
        <references count="2">
          <reference field="4294967294" count="4">
            <x v="0"/>
            <x v="1"/>
            <x v="2"/>
            <x v="3"/>
          </reference>
          <reference field="6" count="1" selected="0">
            <x v="0"/>
          </reference>
        </references>
      </pivotArea>
    </format>
    <format dxfId="251">
      <pivotArea dataOnly="0" labelOnly="1" outline="0" fieldPosition="0">
        <references count="2">
          <reference field="4294967294" count="4">
            <x v="0"/>
            <x v="1"/>
            <x v="2"/>
            <x v="3"/>
          </reference>
          <reference field="6" count="1" selected="0">
            <x v="1"/>
          </reference>
        </references>
      </pivotArea>
    </format>
    <format dxfId="250">
      <pivotArea dataOnly="0" labelOnly="1" outline="0" fieldPosition="0">
        <references count="2">
          <reference field="4294967294" count="4">
            <x v="0"/>
            <x v="1"/>
            <x v="2"/>
            <x v="3"/>
          </reference>
          <reference field="6" count="1" selected="0">
            <x v="2"/>
          </reference>
        </references>
      </pivotArea>
    </format>
    <format dxfId="249">
      <pivotArea field="6" outline="0" collapsedLevelsAreSubtotals="1" axis="axisRow" fieldPosition="1">
        <references count="1">
          <reference field="4294967294" count="1" selected="0">
            <x v="3"/>
          </reference>
        </references>
      </pivotArea>
    </format>
    <format dxfId="248">
      <pivotArea dataOnly="0" labelOnly="1" outline="0" fieldPosition="0">
        <references count="1">
          <reference field="4294967294" count="4">
            <x v="0"/>
            <x v="1"/>
            <x v="2"/>
            <x v="3"/>
          </reference>
        </references>
      </pivotArea>
    </format>
    <format dxfId="247">
      <pivotArea dataOnly="0" labelOnly="1" outline="0" fieldPosition="0">
        <references count="1">
          <reference field="4294967294" count="4">
            <x v="0"/>
            <x v="1"/>
            <x v="2"/>
            <x v="3"/>
          </reference>
        </references>
      </pivotArea>
    </format>
    <format dxfId="246">
      <pivotArea dataOnly="0" labelOnly="1" outline="0" fieldPosition="0">
        <references count="1">
          <reference field="4294967294" count="4">
            <x v="0"/>
            <x v="1"/>
            <x v="2"/>
            <x v="3"/>
          </reference>
        </references>
      </pivotArea>
    </format>
    <format dxfId="24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9"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location ref="B282:D293" firstHeaderRow="0" firstDataRow="1" firstDataCol="1" rowPageCount="2" colPageCount="1"/>
  <pivotFields count="103">
    <pivotField showAll="0"/>
    <pivotField showAll="0"/>
    <pivotField axis="axisRow" showAll="0">
      <items count="11">
        <item x="2"/>
        <item x="9"/>
        <item x="7"/>
        <item x="0"/>
        <item x="8"/>
        <item x="4"/>
        <item x="5"/>
        <item x="3"/>
        <item x="6"/>
        <item x="1"/>
        <item t="default"/>
      </items>
    </pivotField>
    <pivotField showAll="0"/>
    <pivotField showAll="0"/>
    <pivotField showAll="0"/>
    <pivotField axis="axisPage" multipleItemSelectionAllowed="1" showAll="0">
      <items count="5">
        <item x="0"/>
        <item h="1" x="2"/>
        <item h="1" x="1"/>
        <item h="1" m="1" x="3"/>
        <item t="default"/>
      </items>
    </pivotField>
    <pivotField showAl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2">
    <i>
      <x/>
    </i>
    <i i="1">
      <x v="1"/>
    </i>
  </colItems>
  <pageFields count="2">
    <pageField fld="6" hier="-1"/>
    <pageField fld="21" hier="-1"/>
  </pageFields>
  <dataFields count="2">
    <dataField name="% Coverage Permanent Latrine" fld="96" baseField="0" baseItem="0" numFmtId="9"/>
    <dataField name="%  Coverage Emergency latrine" fld="97" baseField="0" baseItem="0" numFmtId="1"/>
  </dataFields>
  <formats count="5">
    <format dxfId="294">
      <pivotArea outline="0" collapsedLevelsAreSubtotals="1" fieldPosition="0"/>
    </format>
    <format dxfId="293">
      <pivotArea field="2" type="button" dataOnly="0" labelOnly="1" outline="0" axis="axisRow" fieldPosition="0"/>
    </format>
    <format dxfId="292">
      <pivotArea dataOnly="0" labelOnly="1" outline="0" fieldPosition="0">
        <references count="1">
          <reference field="4294967294" count="2">
            <x v="0"/>
            <x v="1"/>
          </reference>
        </references>
      </pivotArea>
    </format>
    <format dxfId="291">
      <pivotArea outline="0" collapsedLevelsAreSubtotals="1" fieldPosition="0"/>
    </format>
    <format dxfId="290">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2"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8:C29" firstHeaderRow="2" firstDataRow="2" firstDataCol="1" rowPageCount="1" colPageCount="1"/>
  <pivotFields count="33">
    <pivotField compact="0" outline="0" subtotalTop="0" showAll="0" includeNewItemsInFilter="1"/>
    <pivotField compact="0" outline="0" subtotalTop="0" showAll="0" includeNewItemsInFilter="1"/>
    <pivotField axis="axisRow" compact="0" outline="0" subtotalTop="0" showAll="0" includeNewItemsInFilter="1">
      <items count="27">
        <item x="1"/>
        <item x="3"/>
        <item m="1" x="20"/>
        <item x="13"/>
        <item h="1" x="0"/>
        <item x="17"/>
        <item x="4"/>
        <item h="1" m="1" x="25"/>
        <item x="10"/>
        <item x="15"/>
        <item m="1" x="23"/>
        <item x="19"/>
        <item x="2"/>
        <item x="18"/>
        <item x="12"/>
        <item x="14"/>
        <item x="6"/>
        <item m="1" x="21"/>
        <item x="11"/>
        <item x="5"/>
        <item x="7"/>
        <item m="1" x="24"/>
        <item m="1" x="22"/>
        <item x="8"/>
        <item x="9"/>
        <item x="1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0">
    <i>
      <x/>
    </i>
    <i>
      <x v="1"/>
    </i>
    <i>
      <x v="3"/>
    </i>
    <i>
      <x v="5"/>
    </i>
    <i>
      <x v="6"/>
    </i>
    <i>
      <x v="8"/>
    </i>
    <i>
      <x v="9"/>
    </i>
    <i>
      <x v="11"/>
    </i>
    <i>
      <x v="12"/>
    </i>
    <i>
      <x v="13"/>
    </i>
    <i>
      <x v="14"/>
    </i>
    <i>
      <x v="15"/>
    </i>
    <i>
      <x v="16"/>
    </i>
    <i>
      <x v="18"/>
    </i>
    <i>
      <x v="19"/>
    </i>
    <i>
      <x v="20"/>
    </i>
    <i>
      <x v="23"/>
    </i>
    <i>
      <x v="24"/>
    </i>
    <i>
      <x v="25"/>
    </i>
    <i t="grand">
      <x/>
    </i>
  </rowItems>
  <colItems count="1">
    <i/>
  </colItems>
  <pageFields count="1">
    <pageField fld="8" hier="-1"/>
  </pageFields>
  <dataFields count="1">
    <dataField name="Sum of Total budget of the project US$. For only WASH related cost (including related support costs)" fld="23" baseField="2" baseItem="5" numFmtId="3"/>
  </dataFields>
  <formats count="12">
    <format dxfId="12">
      <pivotArea outline="0" fieldPosition="0">
        <references count="1">
          <reference field="4294967294" count="1">
            <x v="0"/>
          </reference>
        </references>
      </pivotArea>
    </format>
    <format dxfId="11">
      <pivotArea outline="0" fieldPosition="0"/>
    </format>
    <format dxfId="10">
      <pivotArea type="origin" dataOnly="0" labelOnly="1" outline="0" fieldPosition="0"/>
    </format>
    <format dxfId="9">
      <pivotArea field="2" type="button" dataOnly="0" labelOnly="1" outline="0" axis="axisRow" fieldPosition="0"/>
    </format>
    <format dxfId="8">
      <pivotArea dataOnly="0" labelOnly="1" grandRow="1" outline="0" fieldPosition="0"/>
    </format>
    <format dxfId="7">
      <pivotArea outline="0" fieldPosition="0"/>
    </format>
    <format dxfId="6">
      <pivotArea type="topRight" dataOnly="0" labelOnly="1" outline="0" fieldPosition="0"/>
    </format>
    <format dxfId="5">
      <pivotArea type="all" dataOnly="0" outline="0" fieldPosition="0"/>
    </format>
    <format dxfId="4">
      <pivotArea outline="0" collapsedLevelsAreSubtotals="1" fieldPosition="0"/>
    </format>
    <format dxfId="3">
      <pivotArea type="topRight" dataOnly="0" labelOnly="1" outline="0" fieldPosition="0"/>
    </format>
    <format dxfId="2">
      <pivotArea dataOnly="0" labelOnly="1" outline="0" fieldPosition="0">
        <references count="1">
          <reference field="2" count="0"/>
        </references>
      </pivotArea>
    </format>
    <format dxfId="1">
      <pivotArea dataOnly="0" labelOnly="1" grandRow="1" outline="0" fieldPosition="0"/>
    </format>
  </formats>
  <chartFormats count="23">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0" format="12">
      <pivotArea type="data" outline="0" fieldPosition="0">
        <references count="2">
          <reference field="4294967294" count="1" selected="0">
            <x v="0"/>
          </reference>
          <reference field="2" count="1" selected="0">
            <x v="1"/>
          </reference>
        </references>
      </pivotArea>
    </chartFormat>
    <chartFormat chart="0" format="13">
      <pivotArea type="data" outline="0" fieldPosition="0">
        <references count="2">
          <reference field="4294967294" count="1" selected="0">
            <x v="0"/>
          </reference>
          <reference field="2" count="1" selected="0">
            <x v="12"/>
          </reference>
        </references>
      </pivotArea>
    </chartFormat>
    <chartFormat chart="8" format="14" series="1">
      <pivotArea type="data" outline="0" fieldPosition="0">
        <references count="1">
          <reference field="4294967294" count="1" selected="0">
            <x v="0"/>
          </reference>
        </references>
      </pivotArea>
    </chartFormat>
    <chartFormat chart="8" format="15">
      <pivotArea type="data" outline="0" fieldPosition="0">
        <references count="2">
          <reference field="4294967294" count="1" selected="0">
            <x v="0"/>
          </reference>
          <reference field="2" count="1" selected="0">
            <x v="1"/>
          </reference>
        </references>
      </pivotArea>
    </chartFormat>
    <chartFormat chart="8" format="16">
      <pivotArea type="data" outline="0" fieldPosition="0">
        <references count="2">
          <reference field="4294967294" count="1" selected="0">
            <x v="0"/>
          </reference>
          <reference field="2" count="1" selected="0">
            <x v="12"/>
          </reference>
        </references>
      </pivotArea>
    </chartFormat>
    <chartFormat chart="8" format="17">
      <pivotArea type="data" outline="0" fieldPosition="0">
        <references count="2">
          <reference field="4294967294" count="1" selected="0">
            <x v="0"/>
          </reference>
          <reference field="2" count="1" selected="0">
            <x v="16"/>
          </reference>
        </references>
      </pivotArea>
    </chartFormat>
    <chartFormat chart="8" format="18">
      <pivotArea type="data" outline="0" fieldPosition="0">
        <references count="2">
          <reference field="4294967294" count="1" selected="0">
            <x v="0"/>
          </reference>
          <reference field="2" count="1" selected="0">
            <x v="2"/>
          </reference>
        </references>
      </pivotArea>
    </chartFormat>
    <chartFormat chart="8" format="19">
      <pivotArea type="data" outline="0" fieldPosition="0">
        <references count="2">
          <reference field="4294967294" count="1" selected="0">
            <x v="0"/>
          </reference>
          <reference field="2" count="1" selected="0">
            <x v="6"/>
          </reference>
        </references>
      </pivotArea>
    </chartFormat>
    <chartFormat chart="8" format="20">
      <pivotArea type="data" outline="0" fieldPosition="0">
        <references count="2">
          <reference field="4294967294" count="1" selected="0">
            <x v="0"/>
          </reference>
          <reference field="2" count="1" selected="0">
            <x v="8"/>
          </reference>
        </references>
      </pivotArea>
    </chartFormat>
    <chartFormat chart="8" format="21">
      <pivotArea type="data" outline="0" fieldPosition="0">
        <references count="2">
          <reference field="4294967294" count="1" selected="0">
            <x v="0"/>
          </reference>
          <reference field="2" count="1" selected="0">
            <x v="17"/>
          </reference>
        </references>
      </pivotArea>
    </chartFormat>
    <chartFormat chart="8" format="22">
      <pivotArea type="data" outline="0" fieldPosition="0">
        <references count="2">
          <reference field="4294967294" count="1" selected="0">
            <x v="0"/>
          </reference>
          <reference field="2" count="1" selected="0">
            <x v="13"/>
          </reference>
        </references>
      </pivotArea>
    </chartFormat>
    <chartFormat chart="8" format="23">
      <pivotArea type="data" outline="0" fieldPosition="0">
        <references count="2">
          <reference field="4294967294" count="1" selected="0">
            <x v="0"/>
          </reference>
          <reference field="2" count="1" selected="0">
            <x v="9"/>
          </reference>
        </references>
      </pivotArea>
    </chartFormat>
    <chartFormat chart="8" format="24">
      <pivotArea type="data" outline="0" fieldPosition="0">
        <references count="2">
          <reference field="4294967294" count="1" selected="0">
            <x v="0"/>
          </reference>
          <reference field="2" count="1" selected="0">
            <x v="11"/>
          </reference>
        </references>
      </pivotArea>
    </chartFormat>
    <chartFormat chart="8" format="25">
      <pivotArea type="data" outline="0" fieldPosition="0">
        <references count="2">
          <reference field="4294967294" count="1" selected="0">
            <x v="0"/>
          </reference>
          <reference field="2" count="1" selected="0">
            <x v="15"/>
          </reference>
        </references>
      </pivotArea>
    </chartFormat>
    <chartFormat chart="8" format="26">
      <pivotArea type="data" outline="0" fieldPosition="0">
        <references count="2">
          <reference field="4294967294" count="1" selected="0">
            <x v="0"/>
          </reference>
          <reference field="2" count="1" selected="0">
            <x v="3"/>
          </reference>
        </references>
      </pivotArea>
    </chartFormat>
    <chartFormat chart="8" format="27">
      <pivotArea type="data" outline="0" fieldPosition="0">
        <references count="2">
          <reference field="4294967294" count="1" selected="0">
            <x v="0"/>
          </reference>
          <reference field="2" count="1" selected="0">
            <x v="5"/>
          </reference>
        </references>
      </pivotArea>
    </chartFormat>
    <chartFormat chart="8" format="28">
      <pivotArea type="data" outline="0" fieldPosition="0">
        <references count="2">
          <reference field="4294967294" count="1" selected="0">
            <x v="0"/>
          </reference>
          <reference field="2" count="1" selected="0">
            <x v="14"/>
          </reference>
        </references>
      </pivotArea>
    </chartFormat>
    <chartFormat chart="8" format="29">
      <pivotArea type="data" outline="0" fieldPosition="0">
        <references count="2">
          <reference field="4294967294" count="1" selected="0">
            <x v="0"/>
          </reference>
          <reference field="2" count="1" selected="0">
            <x v="0"/>
          </reference>
        </references>
      </pivotArea>
    </chartFormat>
    <chartFormat chart="8" format="30">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33.xml><?xml version="1.0" encoding="utf-8"?>
<pivotTableDefinition xmlns="http://schemas.openxmlformats.org/spreadsheetml/2006/main" name="PivotTable5"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0">
  <location ref="B69:V74" firstHeaderRow="1" firstDataRow="2" firstDataCol="1"/>
  <pivotFields count="33">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7">
        <item x="1"/>
        <item x="3"/>
        <item m="1" x="20"/>
        <item x="13"/>
        <item h="1" x="0"/>
        <item x="17"/>
        <item x="4"/>
        <item h="1" m="1" x="25"/>
        <item x="10"/>
        <item x="15"/>
        <item m="1" x="23"/>
        <item x="19"/>
        <item x="2"/>
        <item x="18"/>
        <item x="12"/>
        <item x="14"/>
        <item x="6"/>
        <item m="1" x="21"/>
        <item x="11"/>
        <item x="5"/>
        <item x="7"/>
        <item m="1" x="24"/>
        <item m="1" x="22"/>
        <item x="8"/>
        <item x="9"/>
        <item x="1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4">
    <i>
      <x/>
    </i>
    <i i="1">
      <x v="1"/>
    </i>
    <i i="2">
      <x v="2"/>
    </i>
    <i i="3">
      <x v="3"/>
    </i>
  </rowItems>
  <colFields count="1">
    <field x="2"/>
  </colFields>
  <colItems count="20">
    <i>
      <x/>
    </i>
    <i>
      <x v="1"/>
    </i>
    <i>
      <x v="3"/>
    </i>
    <i>
      <x v="5"/>
    </i>
    <i>
      <x v="6"/>
    </i>
    <i>
      <x v="8"/>
    </i>
    <i>
      <x v="9"/>
    </i>
    <i>
      <x v="11"/>
    </i>
    <i>
      <x v="12"/>
    </i>
    <i>
      <x v="13"/>
    </i>
    <i>
      <x v="14"/>
    </i>
    <i>
      <x v="15"/>
    </i>
    <i>
      <x v="16"/>
    </i>
    <i>
      <x v="18"/>
    </i>
    <i>
      <x v="19"/>
    </i>
    <i>
      <x v="20"/>
    </i>
    <i>
      <x v="23"/>
    </i>
    <i>
      <x v="24"/>
    </i>
    <i>
      <x v="25"/>
    </i>
    <i t="grand">
      <x/>
    </i>
  </colItems>
  <dataFields count="4">
    <dataField name="Before 2014" fld="24" baseField="0" baseItem="0"/>
    <dataField name="2014" fld="25" baseField="0" baseItem="0"/>
    <dataField name="2015" fld="26" baseField="0" baseItem="0"/>
    <dataField name="2016" fld="27" baseField="0" baseItem="0"/>
  </dataFields>
  <formats count="10">
    <format dxfId="22">
      <pivotArea outline="0" fieldPosition="0"/>
    </format>
    <format dxfId="21">
      <pivotArea type="origin" dataOnly="0" labelOnly="1" outline="0" fieldPosition="0"/>
    </format>
    <format dxfId="20">
      <pivotArea field="2" type="button" dataOnly="0" labelOnly="1" outline="0" axis="axisCol" fieldPosition="0"/>
    </format>
    <format dxfId="19">
      <pivotArea dataOnly="0" labelOnly="1" grandRow="1" outline="0" fieldPosition="0"/>
    </format>
    <format dxfId="18">
      <pivotArea outline="0" fieldPosition="0"/>
    </format>
    <format dxfId="17">
      <pivotArea type="topRight" dataOnly="0" labelOnly="1" outline="0" fieldPosition="0"/>
    </format>
    <format dxfId="16">
      <pivotArea type="all" dataOnly="0" outline="0" fieldPosition="0"/>
    </format>
    <format dxfId="15">
      <pivotArea outline="0" collapsedLevelsAreSubtotals="1" fieldPosition="0"/>
    </format>
    <format dxfId="14">
      <pivotArea field="-2" type="button" dataOnly="0" labelOnly="1" outline="0" axis="axisRow" fieldPosition="0"/>
    </format>
    <format dxfId="13">
      <pivotArea dataOnly="0" labelOnly="1" outline="0" fieldPosition="0">
        <references count="1">
          <reference field="4294967294" count="2">
            <x v="0"/>
            <x v="1"/>
          </reference>
        </references>
      </pivotArea>
    </format>
  </formats>
  <chartFormats count="41">
    <chartFormat chart="7"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15" format="2" series="1">
      <pivotArea type="data" outline="0" fieldPosition="0">
        <references count="2">
          <reference field="4294967294" count="1" selected="0">
            <x v="0"/>
          </reference>
          <reference field="2" count="1" selected="0">
            <x v="0"/>
          </reference>
        </references>
      </pivotArea>
    </chartFormat>
    <chartFormat chart="15" format="3" series="1">
      <pivotArea type="data" outline="0" fieldPosition="0">
        <references count="2">
          <reference field="4294967294" count="1" selected="0">
            <x v="0"/>
          </reference>
          <reference field="2" count="1" selected="0">
            <x v="1"/>
          </reference>
        </references>
      </pivotArea>
    </chartFormat>
    <chartFormat chart="15" format="4" series="1">
      <pivotArea type="data" outline="0" fieldPosition="0">
        <references count="2">
          <reference field="4294967294" count="1" selected="0">
            <x v="0"/>
          </reference>
          <reference field="2" count="1" selected="0">
            <x v="2"/>
          </reference>
        </references>
      </pivotArea>
    </chartFormat>
    <chartFormat chart="15" format="5" series="1">
      <pivotArea type="data" outline="0" fieldPosition="0">
        <references count="2">
          <reference field="4294967294" count="1" selected="0">
            <x v="0"/>
          </reference>
          <reference field="2" count="1" selected="0">
            <x v="3"/>
          </reference>
        </references>
      </pivotArea>
    </chartFormat>
    <chartFormat chart="15" format="6" series="1">
      <pivotArea type="data" outline="0" fieldPosition="0">
        <references count="2">
          <reference field="4294967294" count="1" selected="0">
            <x v="0"/>
          </reference>
          <reference field="2" count="1" selected="0">
            <x v="5"/>
          </reference>
        </references>
      </pivotArea>
    </chartFormat>
    <chartFormat chart="15" format="7" series="1">
      <pivotArea type="data" outline="0" fieldPosition="0">
        <references count="2">
          <reference field="4294967294" count="1" selected="0">
            <x v="0"/>
          </reference>
          <reference field="2" count="1" selected="0">
            <x v="6"/>
          </reference>
        </references>
      </pivotArea>
    </chartFormat>
    <chartFormat chart="15" format="8" series="1">
      <pivotArea type="data" outline="0" fieldPosition="0">
        <references count="2">
          <reference field="4294967294" count="1" selected="0">
            <x v="0"/>
          </reference>
          <reference field="2" count="1" selected="0">
            <x v="8"/>
          </reference>
        </references>
      </pivotArea>
    </chartFormat>
    <chartFormat chart="15" format="9" series="1">
      <pivotArea type="data" outline="0" fieldPosition="0">
        <references count="2">
          <reference field="4294967294" count="1" selected="0">
            <x v="0"/>
          </reference>
          <reference field="2" count="1" selected="0">
            <x v="9"/>
          </reference>
        </references>
      </pivotArea>
    </chartFormat>
    <chartFormat chart="15" format="10" series="1">
      <pivotArea type="data" outline="0" fieldPosition="0">
        <references count="2">
          <reference field="4294967294" count="1" selected="0">
            <x v="0"/>
          </reference>
          <reference field="2" count="1" selected="0">
            <x v="10"/>
          </reference>
        </references>
      </pivotArea>
    </chartFormat>
    <chartFormat chart="15" format="11" series="1">
      <pivotArea type="data" outline="0" fieldPosition="0">
        <references count="2">
          <reference field="4294967294" count="1" selected="0">
            <x v="0"/>
          </reference>
          <reference field="2" count="1" selected="0">
            <x v="11"/>
          </reference>
        </references>
      </pivotArea>
    </chartFormat>
    <chartFormat chart="15" format="12" series="1">
      <pivotArea type="data" outline="0" fieldPosition="0">
        <references count="2">
          <reference field="4294967294" count="1" selected="0">
            <x v="0"/>
          </reference>
          <reference field="2" count="1" selected="0">
            <x v="12"/>
          </reference>
        </references>
      </pivotArea>
    </chartFormat>
    <chartFormat chart="15" format="13" series="1">
      <pivotArea type="data" outline="0" fieldPosition="0">
        <references count="2">
          <reference field="4294967294" count="1" selected="0">
            <x v="0"/>
          </reference>
          <reference field="2" count="1" selected="0">
            <x v="13"/>
          </reference>
        </references>
      </pivotArea>
    </chartFormat>
    <chartFormat chart="15" format="14" series="1">
      <pivotArea type="data" outline="0" fieldPosition="0">
        <references count="2">
          <reference field="4294967294" count="1" selected="0">
            <x v="0"/>
          </reference>
          <reference field="2" count="1" selected="0">
            <x v="14"/>
          </reference>
        </references>
      </pivotArea>
    </chartFormat>
    <chartFormat chart="15" format="15" series="1">
      <pivotArea type="data" outline="0" fieldPosition="0">
        <references count="2">
          <reference field="4294967294" count="1" selected="0">
            <x v="0"/>
          </reference>
          <reference field="2" count="1" selected="0">
            <x v="15"/>
          </reference>
        </references>
      </pivotArea>
    </chartFormat>
    <chartFormat chart="15" format="16" series="1">
      <pivotArea type="data" outline="0" fieldPosition="0">
        <references count="2">
          <reference field="4294967294" count="1" selected="0">
            <x v="0"/>
          </reference>
          <reference field="2" count="1" selected="0">
            <x v="16"/>
          </reference>
        </references>
      </pivotArea>
    </chartFormat>
    <chartFormat chart="15" format="17" series="1">
      <pivotArea type="data" outline="0" fieldPosition="0">
        <references count="2">
          <reference field="4294967294" count="1" selected="0">
            <x v="0"/>
          </reference>
          <reference field="2" count="1" selected="0">
            <x v="18"/>
          </reference>
        </references>
      </pivotArea>
    </chartFormat>
    <chartFormat chart="16" format="18" series="1">
      <pivotArea type="data" outline="0" fieldPosition="0">
        <references count="2">
          <reference field="4294967294" count="1" selected="0">
            <x v="0"/>
          </reference>
          <reference field="2" count="1" selected="0">
            <x v="0"/>
          </reference>
        </references>
      </pivotArea>
    </chartFormat>
    <chartFormat chart="16" format="19" series="1">
      <pivotArea type="data" outline="0" fieldPosition="0">
        <references count="2">
          <reference field="4294967294" count="1" selected="0">
            <x v="0"/>
          </reference>
          <reference field="2" count="1" selected="0">
            <x v="1"/>
          </reference>
        </references>
      </pivotArea>
    </chartFormat>
    <chartFormat chart="16" format="20" series="1">
      <pivotArea type="data" outline="0" fieldPosition="0">
        <references count="2">
          <reference field="4294967294" count="1" selected="0">
            <x v="0"/>
          </reference>
          <reference field="2" count="1" selected="0">
            <x v="2"/>
          </reference>
        </references>
      </pivotArea>
    </chartFormat>
    <chartFormat chart="16" format="21" series="1">
      <pivotArea type="data" outline="0" fieldPosition="0">
        <references count="2">
          <reference field="4294967294" count="1" selected="0">
            <x v="0"/>
          </reference>
          <reference field="2" count="1" selected="0">
            <x v="3"/>
          </reference>
        </references>
      </pivotArea>
    </chartFormat>
    <chartFormat chart="16" format="22" series="1">
      <pivotArea type="data" outline="0" fieldPosition="0">
        <references count="2">
          <reference field="4294967294" count="1" selected="0">
            <x v="0"/>
          </reference>
          <reference field="2" count="1" selected="0">
            <x v="5"/>
          </reference>
        </references>
      </pivotArea>
    </chartFormat>
    <chartFormat chart="16" format="23" series="1">
      <pivotArea type="data" outline="0" fieldPosition="0">
        <references count="2">
          <reference field="4294967294" count="1" selected="0">
            <x v="0"/>
          </reference>
          <reference field="2" count="1" selected="0">
            <x v="6"/>
          </reference>
        </references>
      </pivotArea>
    </chartFormat>
    <chartFormat chart="16" format="24" series="1">
      <pivotArea type="data" outline="0" fieldPosition="0">
        <references count="2">
          <reference field="4294967294" count="1" selected="0">
            <x v="0"/>
          </reference>
          <reference field="2" count="1" selected="0">
            <x v="8"/>
          </reference>
        </references>
      </pivotArea>
    </chartFormat>
    <chartFormat chart="16" format="25" series="1">
      <pivotArea type="data" outline="0" fieldPosition="0">
        <references count="2">
          <reference field="4294967294" count="1" selected="0">
            <x v="0"/>
          </reference>
          <reference field="2" count="1" selected="0">
            <x v="9"/>
          </reference>
        </references>
      </pivotArea>
    </chartFormat>
    <chartFormat chart="16" format="26" series="1">
      <pivotArea type="data" outline="0" fieldPosition="0">
        <references count="2">
          <reference field="4294967294" count="1" selected="0">
            <x v="0"/>
          </reference>
          <reference field="2" count="1" selected="0">
            <x v="10"/>
          </reference>
        </references>
      </pivotArea>
    </chartFormat>
    <chartFormat chart="16" format="27" series="1">
      <pivotArea type="data" outline="0" fieldPosition="0">
        <references count="2">
          <reference field="4294967294" count="1" selected="0">
            <x v="0"/>
          </reference>
          <reference field="2" count="1" selected="0">
            <x v="11"/>
          </reference>
        </references>
      </pivotArea>
    </chartFormat>
    <chartFormat chart="16" format="28" series="1">
      <pivotArea type="data" outline="0" fieldPosition="0">
        <references count="2">
          <reference field="4294967294" count="1" selected="0">
            <x v="0"/>
          </reference>
          <reference field="2" count="1" selected="0">
            <x v="12"/>
          </reference>
        </references>
      </pivotArea>
    </chartFormat>
    <chartFormat chart="16" format="29" series="1">
      <pivotArea type="data" outline="0" fieldPosition="0">
        <references count="2">
          <reference field="4294967294" count="1" selected="0">
            <x v="0"/>
          </reference>
          <reference field="2" count="1" selected="0">
            <x v="13"/>
          </reference>
        </references>
      </pivotArea>
    </chartFormat>
    <chartFormat chart="16" format="30" series="1">
      <pivotArea type="data" outline="0" fieldPosition="0">
        <references count="2">
          <reference field="4294967294" count="1" selected="0">
            <x v="0"/>
          </reference>
          <reference field="2" count="1" selected="0">
            <x v="14"/>
          </reference>
        </references>
      </pivotArea>
    </chartFormat>
    <chartFormat chart="16" format="31" series="1">
      <pivotArea type="data" outline="0" fieldPosition="0">
        <references count="2">
          <reference field="4294967294" count="1" selected="0">
            <x v="0"/>
          </reference>
          <reference field="2" count="1" selected="0">
            <x v="15"/>
          </reference>
        </references>
      </pivotArea>
    </chartFormat>
    <chartFormat chart="16" format="32" series="1">
      <pivotArea type="data" outline="0" fieldPosition="0">
        <references count="2">
          <reference field="4294967294" count="1" selected="0">
            <x v="0"/>
          </reference>
          <reference field="2" count="1" selected="0">
            <x v="16"/>
          </reference>
        </references>
      </pivotArea>
    </chartFormat>
    <chartFormat chart="16" format="33" series="1">
      <pivotArea type="data" outline="0" fieldPosition="0">
        <references count="2">
          <reference field="4294967294" count="1" selected="0">
            <x v="0"/>
          </reference>
          <reference field="2" count="1" selected="0">
            <x v="18"/>
          </reference>
        </references>
      </pivotArea>
    </chartFormat>
    <chartFormat chart="16" format="34" series="1">
      <pivotArea type="data" outline="0" fieldPosition="0">
        <references count="2">
          <reference field="4294967294" count="1" selected="0">
            <x v="0"/>
          </reference>
          <reference field="2" count="1" selected="0">
            <x v="19"/>
          </reference>
        </references>
      </pivotArea>
    </chartFormat>
    <chartFormat chart="16" format="35" series="1">
      <pivotArea type="data" outline="0" fieldPosition="0">
        <references count="2">
          <reference field="4294967294" count="1" selected="0">
            <x v="0"/>
          </reference>
          <reference field="2" count="1" selected="0">
            <x v="21"/>
          </reference>
        </references>
      </pivotArea>
    </chartFormat>
    <chartFormat chart="16" format="36" series="1">
      <pivotArea type="data" outline="0" fieldPosition="0">
        <references count="2">
          <reference field="4294967294" count="1" selected="0">
            <x v="0"/>
          </reference>
          <reference field="2" count="1" selected="0">
            <x v="22"/>
          </reference>
        </references>
      </pivotArea>
    </chartFormat>
    <chartFormat chart="16" format="37" series="1">
      <pivotArea type="data" outline="0" fieldPosition="0">
        <references count="2">
          <reference field="4294967294" count="1" selected="0">
            <x v="0"/>
          </reference>
          <reference field="2" count="1" selected="0">
            <x v="20"/>
          </reference>
        </references>
      </pivotArea>
    </chartFormat>
    <chartFormat chart="16" format="38" series="1">
      <pivotArea type="data" outline="0" fieldPosition="0">
        <references count="2">
          <reference field="4294967294" count="1" selected="0">
            <x v="0"/>
          </reference>
          <reference field="2" count="1" selected="0">
            <x v="25"/>
          </reference>
        </references>
      </pivotArea>
    </chartFormat>
    <chartFormat chart="16" format="39" series="1">
      <pivotArea type="data" outline="0" fieldPosition="0">
        <references count="2">
          <reference field="4294967294" count="1" selected="0">
            <x v="0"/>
          </reference>
          <reference field="2" count="1" selected="0">
            <x v="23"/>
          </reference>
        </references>
      </pivotArea>
    </chartFormat>
    <chartFormat chart="16" format="40" series="1">
      <pivotArea type="data" outline="0" fieldPosition="0">
        <references count="2">
          <reference field="4294967294" count="1" selected="0">
            <x v="0"/>
          </reference>
          <reference field="2" count="1" selected="0">
            <x v="24"/>
          </reference>
        </references>
      </pivotArea>
    </chartFormat>
  </chartFormats>
  <pivotTableStyleInfo showRowHeaders="1" showColHeaders="1" showRowStripes="0" showColStripes="0" showLastColumn="1"/>
</pivotTableDefinition>
</file>

<file path=xl/pivotTables/pivotTable34.xml><?xml version="1.0" encoding="utf-8"?>
<pivotTableDefinition xmlns="http://schemas.openxmlformats.org/spreadsheetml/2006/main" name="PivotTable3"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49:C152" firstHeaderRow="1" firstDataRow="1" firstDataCol="1" rowPageCount="1" colPageCount="1"/>
  <pivotFields count="33">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Average of Approximate % of fund dedicated to sanitation" fld="29" subtotal="average" baseField="0" baseItem="29047"/>
    <dataField name="Average of Approximate % fund dedicated to Water access" fld="30" subtotal="average" baseField="0" baseItem="29047"/>
    <dataField name="Average of Approximate % of fund dedicated to HP" fld="31" subtotal="average" baseField="0" baseItem="29047"/>
  </dataFields>
  <formats count="9">
    <format dxfId="31">
      <pivotArea outline="0" fieldPosition="0"/>
    </format>
    <format dxfId="30">
      <pivotArea field="0" type="button" dataOnly="0" labelOnly="1" outline="0"/>
    </format>
    <format dxfId="29">
      <pivotArea field="-2" type="button" dataOnly="0" labelOnly="1" outline="0" axis="axisRow" fieldPosition="0"/>
    </format>
    <format dxfId="28">
      <pivotArea dataOnly="0" labelOnly="1" outline="0" fieldPosition="0">
        <references count="1">
          <reference field="4294967294" count="3">
            <x v="0"/>
            <x v="1"/>
            <x v="2"/>
          </reference>
        </references>
      </pivotArea>
    </format>
    <format dxfId="27">
      <pivotArea outline="0" fieldPosition="0"/>
    </format>
    <format dxfId="26">
      <pivotArea type="all" dataOnly="0" outline="0" fieldPosition="0"/>
    </format>
    <format dxfId="25">
      <pivotArea outline="0" collapsedLevelsAreSubtotals="1" fieldPosition="0"/>
    </format>
    <format dxfId="24">
      <pivotArea field="-2" type="button" dataOnly="0" labelOnly="1" outline="0" axis="axisRow" fieldPosition="0"/>
    </format>
    <format dxfId="23">
      <pivotArea dataOnly="0" labelOnly="1" outline="0" fieldPosition="0">
        <references count="1">
          <reference field="4294967294" count="3">
            <x v="0"/>
            <x v="1"/>
            <x v="2"/>
          </reference>
        </references>
      </pivotArea>
    </format>
  </formats>
  <chartFormats count="8">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 chart="0" format="4">
      <pivotArea type="data" outline="0" fieldPosition="0">
        <references count="1">
          <reference field="4294967294" count="1" selected="0">
            <x v="2"/>
          </reference>
        </references>
      </pivotArea>
    </chartFormat>
    <chartFormat chart="0"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1">
          <reference field="4294967294" count="1" selected="0">
            <x v="0"/>
          </reference>
        </references>
      </pivotArea>
    </chartFormat>
    <chartFormat chart="3" format="8">
      <pivotArea type="data" outline="0" fieldPosition="0">
        <references count="1">
          <reference field="4294967294" count="1" selected="0">
            <x v="1"/>
          </reference>
        </references>
      </pivotArea>
    </chartFormat>
    <chartFormat chart="3" format="9">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35.xml><?xml version="1.0" encoding="utf-8"?>
<pivotTableDefinition xmlns="http://schemas.openxmlformats.org/spreadsheetml/2006/main" name="PivotTable9"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0">
  <location ref="B117:C119" firstHeaderRow="1" firstDataRow="1" firstDataCol="1" rowPageCount="1" colPageCount="1"/>
  <pivotFields count="33">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ive % of NGCA beneficiaries" fld="10" subtotal="average" baseField="0" baseItem="3075528"/>
    <dataField name="Average of Approximative % of GCA beneficiaries" fld="11" subtotal="average" baseField="0" baseItem="3075528"/>
  </dataFields>
  <formats count="8">
    <format dxfId="39">
      <pivotArea outline="0" fieldPosition="0"/>
    </format>
    <format dxfId="38">
      <pivotArea field="0" type="button" dataOnly="0" labelOnly="1" outline="0"/>
    </format>
    <format dxfId="37">
      <pivotArea field="-2" type="button" dataOnly="0" labelOnly="1" outline="0" axis="axisRow" fieldPosition="0"/>
    </format>
    <format dxfId="36">
      <pivotArea outline="0" fieldPosition="0"/>
    </format>
    <format dxfId="35">
      <pivotArea type="all" dataOnly="0" outline="0" fieldPosition="0"/>
    </format>
    <format dxfId="34">
      <pivotArea outline="0" collapsedLevelsAreSubtotals="1" fieldPosition="0"/>
    </format>
    <format dxfId="33">
      <pivotArea field="-2" type="button" dataOnly="0" labelOnly="1" outline="0" axis="axisRow" fieldPosition="0"/>
    </format>
    <format dxfId="32">
      <pivotArea dataOnly="0" labelOnly="1" outline="0" fieldPosition="0">
        <references count="1">
          <reference field="4294967294" count="2">
            <x v="0"/>
            <x v="1"/>
          </reference>
        </references>
      </pivotArea>
    </format>
  </formats>
  <chartFormats count="4">
    <chartFormat chart="15" format="4" series="1">
      <pivotArea type="data" outline="0" fieldPosition="0">
        <references count="1">
          <reference field="4294967294" count="1" selected="0">
            <x v="0"/>
          </reference>
        </references>
      </pivotArea>
    </chartFormat>
    <chartFormat chart="15" format="5">
      <pivotArea type="data" outline="0" fieldPosition="0">
        <references count="1">
          <reference field="4294967294" count="1" selected="0">
            <x v="0"/>
          </reference>
        </references>
      </pivotArea>
    </chartFormat>
    <chartFormat chart="18" format="6" series="1">
      <pivotArea type="data" outline="0" fieldPosition="0">
        <references count="1">
          <reference field="4294967294" count="1" selected="0">
            <x v="0"/>
          </reference>
        </references>
      </pivotArea>
    </chartFormat>
    <chartFormat chart="18" format="7">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6.xml><?xml version="1.0" encoding="utf-8"?>
<pivotTableDefinition xmlns="http://schemas.openxmlformats.org/spreadsheetml/2006/main" name="PivotTable1"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7">
  <location ref="B133:C135" firstHeaderRow="1" firstDataRow="1" firstDataCol="1" rowPageCount="1" colPageCount="1"/>
  <pivotFields count="33">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e % of beneficiaries in host community" fld="16" subtotal="average" baseField="0" baseItem="29047"/>
    <dataField name="Average of Approximate % of beneficiaries in camps" fld="15" subtotal="average" baseField="0" baseItem="29047"/>
  </dataFields>
  <formats count="9">
    <format dxfId="48">
      <pivotArea outline="0" fieldPosition="0"/>
    </format>
    <format dxfId="47">
      <pivotArea field="0" type="button" dataOnly="0" labelOnly="1" outline="0"/>
    </format>
    <format dxfId="46">
      <pivotArea field="-2" type="button" dataOnly="0" labelOnly="1" outline="0" axis="axisRow" fieldPosition="0"/>
    </format>
    <format dxfId="45">
      <pivotArea dataOnly="0" labelOnly="1" outline="0" fieldPosition="0">
        <references count="1">
          <reference field="4294967294" count="2">
            <x v="0"/>
            <x v="1"/>
          </reference>
        </references>
      </pivotArea>
    </format>
    <format dxfId="44">
      <pivotArea outline="0" fieldPosition="0"/>
    </format>
    <format dxfId="43">
      <pivotArea type="all" dataOnly="0" outline="0" fieldPosition="0"/>
    </format>
    <format dxfId="42">
      <pivotArea outline="0" collapsedLevelsAreSubtotals="1" fieldPosition="0"/>
    </format>
    <format dxfId="41">
      <pivotArea field="-2" type="button" dataOnly="0" labelOnly="1" outline="0" axis="axisRow" fieldPosition="0"/>
    </format>
    <format dxfId="40">
      <pivotArea dataOnly="0" labelOnly="1" outline="0" fieldPosition="0">
        <references count="1">
          <reference field="4294967294" count="2">
            <x v="0"/>
            <x v="1"/>
          </reference>
        </references>
      </pivotArea>
    </format>
  </formats>
  <chartFormats count="5">
    <chartFormat chart="2"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5" format="5">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 chart="6" format="8">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7"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78:G182" firstHeaderRow="1" firstDataRow="2" firstDataCol="1" rowPageCount="1" colPageCount="1"/>
  <pivotFields count="33">
    <pivotField axis="axisPage"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2"/>
    </i>
    <i>
      <x v="3"/>
    </i>
    <i t="grand">
      <x/>
    </i>
  </colItems>
  <pageFields count="1">
    <pageField fld="0" hier="0"/>
  </pageFields>
  <dataFields count="3">
    <dataField name=" Nb of sanitation beneficiaries" fld="20" baseField="0" baseItem="3207800"/>
    <dataField name="Nb of water access beneficiaries" fld="21" baseField="0" baseItem="3207800"/>
    <dataField name="Nb of beneficiairies for HE in host" fld="22" baseField="0" baseItem="3207800"/>
  </dataFields>
  <formats count="11">
    <format dxfId="59">
      <pivotArea outline="0" fieldPosition="0"/>
    </format>
    <format dxfId="58">
      <pivotArea field="0" type="button" dataOnly="0" labelOnly="1" outline="0" axis="axisPage" fieldPosition="0"/>
    </format>
    <format dxfId="57">
      <pivotArea field="-2" type="button" dataOnly="0" labelOnly="1" outline="0" axis="axisRow" fieldPosition="0"/>
    </format>
    <format dxfId="56">
      <pivotArea outline="0" fieldPosition="0"/>
    </format>
    <format dxfId="55">
      <pivotArea dataOnly="0" labelOnly="1" outline="0" fieldPosition="0">
        <references count="1">
          <reference field="0" count="0"/>
        </references>
      </pivotArea>
    </format>
    <format dxfId="54">
      <pivotArea outline="0" collapsedLevelsAreSubtotals="1" fieldPosition="0"/>
    </format>
    <format dxfId="53">
      <pivotArea type="all" dataOnly="0" outline="0" fieldPosition="0"/>
    </format>
    <format dxfId="52">
      <pivotArea outline="0" collapsedLevelsAreSubtotals="1" fieldPosition="0"/>
    </format>
    <format dxfId="51">
      <pivotArea dataOnly="0" labelOnly="1" outline="0" fieldPosition="0">
        <references count="1">
          <reference field="4294967294" count="3">
            <x v="0"/>
            <x v="1"/>
            <x v="2"/>
          </reference>
        </references>
      </pivotArea>
    </format>
    <format dxfId="50">
      <pivotArea dataOnly="0" labelOnly="1" outline="0" fieldPosition="0">
        <references count="1">
          <reference field="8" count="0"/>
        </references>
      </pivotArea>
    </format>
    <format dxfId="49">
      <pivotArea dataOnly="0" labelOnly="1" grandCol="1" outline="0" fieldPosition="0"/>
    </format>
  </formats>
  <chartFormats count="5">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 chart="3" format="4" series="1">
      <pivotArea type="data" outline="0" fieldPosition="0">
        <references count="2">
          <reference field="4294967294" count="1" selected="0">
            <x v="0"/>
          </reference>
          <reference field="8" count="1" selected="0">
            <x v="3"/>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10"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59">
  <location ref="B33:C45" firstHeaderRow="2" firstDataRow="2" firstDataCol="1" rowPageCount="1" colPageCount="1"/>
  <pivotFields count="33">
    <pivotField compact="0" outline="0" subtotalTop="0" showAll="0" includeNewItemsInFilter="1"/>
    <pivotField compact="0" outline="0" subtotalTop="0" showAll="0" includeNewItemsInFilter="1"/>
    <pivotField axis="axisRow" compact="0" outline="0" subtotalTop="0" showAll="0" includeNewItemsInFilter="1">
      <items count="27">
        <item x="1"/>
        <item x="3"/>
        <item x="13"/>
        <item x="14"/>
        <item h="1" x="0"/>
        <item x="17"/>
        <item x="2"/>
        <item x="18"/>
        <item x="4"/>
        <item m="1" x="25"/>
        <item x="6"/>
        <item x="10"/>
        <item m="1" x="21"/>
        <item x="12"/>
        <item x="15"/>
        <item m="1" x="20"/>
        <item m="1" x="23"/>
        <item x="19"/>
        <item x="11"/>
        <item x="5"/>
        <item x="7"/>
        <item m="1" x="24"/>
        <item m="1" x="22"/>
        <item x="8"/>
        <item x="9"/>
        <item x="1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multipleItemSelectionAllowed="1"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axis="axisPage" dataField="1" compact="0" outline="0" multipleItemSelectionAllowed="1" showAll="0" defaultSubtotal="0">
      <items count="49">
        <item h="1" x="0"/>
        <item x="29"/>
        <item m="1" x="40"/>
        <item x="1"/>
        <item m="1" x="42"/>
        <item x="5"/>
        <item m="1" x="38"/>
        <item x="8"/>
        <item x="9"/>
        <item x="10"/>
        <item x="11"/>
        <item m="1" x="34"/>
        <item x="13"/>
        <item x="14"/>
        <item m="1" x="41"/>
        <item x="19"/>
        <item x="20"/>
        <item x="22"/>
        <item m="1" x="36"/>
        <item m="1" x="48"/>
        <item x="27"/>
        <item x="32"/>
        <item x="31"/>
        <item x="28"/>
        <item h="1" m="1" x="46"/>
        <item h="1" x="4"/>
        <item h="1" x="6"/>
        <item h="1" m="1" x="37"/>
        <item h="1" m="1" x="44"/>
        <item h="1" m="1" x="43"/>
        <item h="1" x="7"/>
        <item h="1" m="1" x="45"/>
        <item h="1" x="17"/>
        <item h="1" m="1" x="33"/>
        <item h="1" x="26"/>
        <item h="1" x="30"/>
        <item h="1" m="1" x="47"/>
        <item h="1" m="1" x="35"/>
        <item h="1" m="1" x="39"/>
        <item h="1" x="18"/>
        <item h="1" x="21"/>
        <item h="1" x="23"/>
        <item h="1" x="15"/>
        <item h="1" x="16"/>
        <item h="1" x="24"/>
        <item h="1" x="12"/>
        <item h="1" x="3"/>
        <item h="1" x="25"/>
        <item h="1" x="2"/>
      </items>
    </pivotField>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1">
    <i>
      <x/>
    </i>
    <i>
      <x v="2"/>
    </i>
    <i>
      <x v="5"/>
    </i>
    <i>
      <x v="6"/>
    </i>
    <i>
      <x v="10"/>
    </i>
    <i>
      <x v="11"/>
    </i>
    <i>
      <x v="13"/>
    </i>
    <i>
      <x v="17"/>
    </i>
    <i>
      <x v="19"/>
    </i>
    <i>
      <x v="25"/>
    </i>
    <i t="grand">
      <x/>
    </i>
  </rowItems>
  <colItems count="1">
    <i/>
  </colItems>
  <pageFields count="1">
    <pageField fld="25" hier="-1"/>
  </pageFields>
  <dataFields count="1">
    <dataField name="Sum of Approximate fund 2014 regarding project date implementation" fld="25" baseField="0" baseItem="0" numFmtId="165"/>
  </dataFields>
  <formats count="7">
    <format dxfId="66">
      <pivotArea outline="0" fieldPosition="0"/>
    </format>
    <format dxfId="65">
      <pivotArea type="origin" dataOnly="0" labelOnly="1" outline="0" fieldPosition="0"/>
    </format>
    <format dxfId="64">
      <pivotArea field="2" type="button" dataOnly="0" labelOnly="1" outline="0" axis="axisRow" fieldPosition="0"/>
    </format>
    <format dxfId="63">
      <pivotArea dataOnly="0" labelOnly="1" grandRow="1" outline="0" fieldPosition="0"/>
    </format>
    <format dxfId="62">
      <pivotArea outline="0" fieldPosition="0"/>
    </format>
    <format dxfId="61">
      <pivotArea type="topRight" dataOnly="0" labelOnly="1" outline="0" fieldPosition="0"/>
    </format>
    <format dxfId="60">
      <pivotArea outline="0" collapsedLevelsAreSubtotals="1" fieldPosition="0"/>
    </format>
  </formats>
  <chartFormats count="7">
    <chartFormat chart="56" format="38" series="1">
      <pivotArea type="data" outline="0" fieldPosition="0">
        <references count="1">
          <reference field="4294967294" count="1" selected="0">
            <x v="0"/>
          </reference>
        </references>
      </pivotArea>
    </chartFormat>
    <chartFormat chart="57" format="40" series="1">
      <pivotArea type="data" outline="0" fieldPosition="0">
        <references count="1">
          <reference field="4294967294" count="1" selected="0">
            <x v="0"/>
          </reference>
        </references>
      </pivotArea>
    </chartFormat>
    <chartFormat chart="57" format="41">
      <pivotArea type="data" outline="0" fieldPosition="0">
        <references count="2">
          <reference field="4294967294" count="1" selected="0">
            <x v="0"/>
          </reference>
          <reference field="2" count="1" selected="0">
            <x v="11"/>
          </reference>
        </references>
      </pivotArea>
    </chartFormat>
    <chartFormat chart="57" format="42">
      <pivotArea type="data" outline="0" fieldPosition="0">
        <references count="2">
          <reference field="4294967294" count="1" selected="0">
            <x v="0"/>
          </reference>
          <reference field="2" count="1" selected="0">
            <x v="15"/>
          </reference>
        </references>
      </pivotArea>
    </chartFormat>
    <chartFormat chart="57" format="43">
      <pivotArea type="data" outline="0" fieldPosition="0">
        <references count="2">
          <reference field="4294967294" count="1" selected="0">
            <x v="0"/>
          </reference>
          <reference field="2" count="1" selected="0">
            <x v="17"/>
          </reference>
        </references>
      </pivotArea>
    </chartFormat>
    <chartFormat chart="57" format="44">
      <pivotArea type="data" outline="0" fieldPosition="0">
        <references count="2">
          <reference field="4294967294" count="1" selected="0">
            <x v="0"/>
          </reference>
          <reference field="2" count="1" selected="0">
            <x v="16"/>
          </reference>
        </references>
      </pivotArea>
    </chartFormat>
    <chartFormat chart="57" format="45">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8"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
  <location ref="B103:C106" firstHeaderRow="1" firstDataRow="1" firstDataCol="1" rowPageCount="1" colPageCount="1"/>
  <pivotFields count="33">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 fund attributed for Northern Shan" fld="12" subtotal="average" baseField="0" baseItem="3075528"/>
    <dataField name=" % fund attributed for South Kachin" fld="13" subtotal="average" baseField="0" baseItem="3075528"/>
    <dataField name=" % funds attributed for North kachin" fld="14" subtotal="average" baseField="0" baseItem="3075528"/>
  </dataFields>
  <formats count="8">
    <format dxfId="74">
      <pivotArea outline="0" fieldPosition="0"/>
    </format>
    <format dxfId="73">
      <pivotArea field="0" type="button" dataOnly="0" labelOnly="1" outline="0"/>
    </format>
    <format dxfId="72">
      <pivotArea field="-2" type="button" dataOnly="0" labelOnly="1" outline="0" axis="axisRow" fieldPosition="0"/>
    </format>
    <format dxfId="71">
      <pivotArea outline="0" fieldPosition="0"/>
    </format>
    <format dxfId="70">
      <pivotArea type="all" dataOnly="0" outline="0" fieldPosition="0"/>
    </format>
    <format dxfId="69">
      <pivotArea outline="0" collapsedLevelsAreSubtotals="1" fieldPosition="0"/>
    </format>
    <format dxfId="68">
      <pivotArea field="-2" type="button" dataOnly="0" labelOnly="1" outline="0" axis="axisRow" fieldPosition="0"/>
    </format>
    <format dxfId="67">
      <pivotArea dataOnly="0" labelOnly="1" outline="0" fieldPosition="0">
        <references count="1">
          <reference field="4294967294" count="3">
            <x v="0"/>
            <x v="1"/>
            <x v="2"/>
          </reference>
        </references>
      </pivotArea>
    </format>
  </formats>
  <chartFormats count="5">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1">
          <reference field="4294967294" count="1" selected="0">
            <x v="1"/>
          </reference>
        </references>
      </pivotArea>
    </chartFormat>
    <chartFormat chart="4" format="8">
      <pivotArea type="data" outline="0" fieldPosition="0">
        <references count="1">
          <reference field="4294967294" count="1" selected="0">
            <x v="2"/>
          </reference>
        </references>
      </pivotArea>
    </chartFormat>
    <chartFormat chart="4" format="9">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4"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586:E598" firstHeaderRow="1" firstDataRow="2" firstDataCol="1" rowPageCount="2" colPageCount="1"/>
  <pivotFields count="103">
    <pivotField showAll="0"/>
    <pivotField showAll="0"/>
    <pivotField axis="axisRow" showAll="0">
      <items count="11">
        <item x="2"/>
        <item x="9"/>
        <item x="7"/>
        <item x="0"/>
        <item x="8"/>
        <item x="4"/>
        <item x="5"/>
        <item x="3"/>
        <item x="6"/>
        <item x="1"/>
        <item t="default"/>
      </items>
    </pivotField>
    <pivotField showAll="0"/>
    <pivotField showAll="0"/>
    <pivotField showAll="0"/>
    <pivotField axis="axisPage" multipleItemSelectionAllowed="1" showAll="0">
      <items count="5">
        <item x="0"/>
        <item h="1" x="2"/>
        <item x="1"/>
        <item h="1"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axis="axisCol" dataField="1" showAll="0" defaultSubtotal="0">
      <items count="2">
        <item x="0"/>
        <item x="1"/>
      </items>
    </pivotField>
    <pivotField showAll="0" defaultSubtotal="0"/>
    <pivotField showAll="0"/>
    <pivotField showAll="0" defaultSubtotal="0"/>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18"/>
  </colFields>
  <colItems count="3">
    <i>
      <x/>
    </i>
    <i>
      <x v="1"/>
    </i>
    <i t="grand">
      <x/>
    </i>
  </colItems>
  <pageFields count="2">
    <pageField fld="6" hier="-1"/>
    <pageField fld="7" hier="-1"/>
  </pageFields>
  <dataFields count="1">
    <dataField name="Count of Targetted" fld="18" subtotal="count" baseField="0" baseItem="0" numFmtId="1"/>
  </dataFields>
  <formats count="3">
    <format dxfId="118">
      <pivotArea outline="0" collapsedLevelsAreSubtotals="1" fieldPosition="0"/>
    </format>
    <format dxfId="117">
      <pivotArea outline="0" collapsedLevelsAreSubtotals="1" fieldPosition="0"/>
    </format>
    <format dxfId="116">
      <pivotArea outline="0" fieldPosition="0">
        <references count="1">
          <reference field="4294967294" count="1">
            <x v="0"/>
          </reference>
        </references>
      </pivotArea>
    </format>
  </formats>
  <chartFormats count="4">
    <chartFormat chart="38" format="0" series="1">
      <pivotArea type="data" outline="0" fieldPosition="0">
        <references count="2">
          <reference field="4294967294" count="1" selected="0">
            <x v="0"/>
          </reference>
          <reference field="18" count="1" selected="0">
            <x v="0"/>
          </reference>
        </references>
      </pivotArea>
    </chartFormat>
    <chartFormat chart="38" format="1" series="1">
      <pivotArea type="data" outline="0" fieldPosition="0">
        <references count="2">
          <reference field="4294967294" count="1" selected="0">
            <x v="0"/>
          </reference>
          <reference field="18" count="1" selected="0">
            <x v="1"/>
          </reference>
        </references>
      </pivotArea>
    </chartFormat>
    <chartFormat chart="40" format="0" series="1">
      <pivotArea type="data" outline="0" fieldPosition="0">
        <references count="2">
          <reference field="4294967294" count="1" selected="0">
            <x v="0"/>
          </reference>
          <reference field="18" count="1" selected="0">
            <x v="0"/>
          </reference>
        </references>
      </pivotArea>
    </chartFormat>
    <chartFormat chart="40" format="1" series="1">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PivotTable4"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8">
  <location ref="B56:C62" firstHeaderRow="2" firstDataRow="2" firstDataCol="1" rowPageCount="1" colPageCount="1"/>
  <pivotFields count="33">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7">
        <item x="1"/>
        <item x="3"/>
        <item m="1" x="20"/>
        <item x="13"/>
        <item h="1" x="0"/>
        <item x="17"/>
        <item x="4"/>
        <item h="1" m="1" x="25"/>
        <item x="10"/>
        <item x="15"/>
        <item m="1" x="23"/>
        <item x="19"/>
        <item x="2"/>
        <item x="18"/>
        <item x="12"/>
        <item x="14"/>
        <item x="6"/>
        <item m="1" x="21"/>
        <item x="11"/>
        <item x="5"/>
        <item x="7"/>
        <item m="1" x="24"/>
        <item m="1" x="22"/>
        <item x="8"/>
        <item x="9"/>
        <item x="1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2"/>
    </i>
    <i>
      <x v="3"/>
    </i>
    <i t="grand">
      <x/>
    </i>
  </rowItems>
  <colItems count="1">
    <i/>
  </colItems>
  <pageFields count="1">
    <pageField fld="2" hier="-1"/>
  </pageFields>
  <dataFields count="1">
    <dataField name="Sum of Total budget of the project US$. For only WASH related cost (including related support costs)" fld="23" baseField="0" baseItem="0" numFmtId="3"/>
  </dataFields>
  <formats count="12">
    <format dxfId="86">
      <pivotArea outline="0" fieldPosition="0">
        <references count="1">
          <reference field="4294967294" count="1">
            <x v="0"/>
          </reference>
        </references>
      </pivotArea>
    </format>
    <format dxfId="85">
      <pivotArea outline="0" fieldPosition="0"/>
    </format>
    <format dxfId="84">
      <pivotArea type="origin" dataOnly="0" labelOnly="1" outline="0" fieldPosition="0"/>
    </format>
    <format dxfId="83">
      <pivotArea field="2" type="button" dataOnly="0" labelOnly="1" outline="0" axis="axisPage" fieldPosition="0"/>
    </format>
    <format dxfId="82">
      <pivotArea dataOnly="0" labelOnly="1" grandRow="1" outline="0" fieldPosition="0"/>
    </format>
    <format dxfId="81">
      <pivotArea outline="0" fieldPosition="0"/>
    </format>
    <format dxfId="80">
      <pivotArea type="topRight" dataOnly="0" labelOnly="1" outline="0" fieldPosition="0"/>
    </format>
    <format dxfId="79">
      <pivotArea type="all" dataOnly="0" outline="0" fieldPosition="0"/>
    </format>
    <format dxfId="78">
      <pivotArea outline="0" collapsedLevelsAreSubtotals="1" fieldPosition="0"/>
    </format>
    <format dxfId="77">
      <pivotArea type="topRight" dataOnly="0" labelOnly="1" outline="0" fieldPosition="0"/>
    </format>
    <format dxfId="76">
      <pivotArea dataOnly="0" labelOnly="1" outline="0" fieldPosition="0">
        <references count="1">
          <reference field="8" count="0"/>
        </references>
      </pivotArea>
    </format>
    <format dxfId="75">
      <pivotArea dataOnly="0" labelOnly="1" grandRow="1" outline="0" fieldPosition="0"/>
    </format>
  </formats>
  <chartFormats count="6">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1.xml><?xml version="1.0" encoding="utf-8"?>
<pivotTableDefinition xmlns="http://schemas.openxmlformats.org/spreadsheetml/2006/main" name="PivotTable6" cacheId="6"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
  <location ref="B162:G166" firstHeaderRow="1" firstDataRow="2" firstDataCol="1"/>
  <pivotFields count="33">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2"/>
    </i>
    <i>
      <x v="3"/>
    </i>
    <i t="grand">
      <x/>
    </i>
  </colItems>
  <dataFields count="3">
    <dataField name="Number of sanitation beneficiaries" fld="17" baseField="0" baseItem="3207800"/>
    <dataField name="Number of water access beneficiaries" fld="18" baseField="0" baseItem="3207800"/>
    <dataField name=" Number of beneficiairies for HE" fld="19" baseField="0" baseItem="3207800"/>
  </dataFields>
  <formats count="10">
    <format dxfId="96">
      <pivotArea outline="0" fieldPosition="0"/>
    </format>
    <format dxfId="95">
      <pivotArea field="0" type="button" dataOnly="0" labelOnly="1" outline="0"/>
    </format>
    <format dxfId="94">
      <pivotArea field="-2" type="button" dataOnly="0" labelOnly="1" outline="0" axis="axisRow" fieldPosition="0"/>
    </format>
    <format dxfId="93">
      <pivotArea outline="0" fieldPosition="0"/>
    </format>
    <format dxfId="92">
      <pivotArea outline="0" collapsedLevelsAreSubtotals="1" fieldPosition="0"/>
    </format>
    <format dxfId="91">
      <pivotArea type="all" dataOnly="0" outline="0" fieldPosition="0"/>
    </format>
    <format dxfId="90">
      <pivotArea outline="0" collapsedLevelsAreSubtotals="1" fieldPosition="0"/>
    </format>
    <format dxfId="89">
      <pivotArea dataOnly="0" labelOnly="1" outline="0" fieldPosition="0">
        <references count="1">
          <reference field="4294967294" count="3">
            <x v="0"/>
            <x v="1"/>
            <x v="2"/>
          </reference>
        </references>
      </pivotArea>
    </format>
    <format dxfId="88">
      <pivotArea dataOnly="0" labelOnly="1" outline="0" fieldPosition="0">
        <references count="1">
          <reference field="8" count="0"/>
        </references>
      </pivotArea>
    </format>
    <format dxfId="87">
      <pivotArea dataOnly="0" labelOnly="1" grandCol="1" outline="0" fieldPosition="0"/>
    </format>
  </formats>
  <chartFormats count="5">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 chart="2" format="4" series="1">
      <pivotArea type="data" outline="0" fieldPosition="0">
        <references count="2">
          <reference field="4294967294" count="1" selected="0">
            <x v="0"/>
          </reference>
          <reference field="8" count="1" selected="0">
            <x v="3"/>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30"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Z83:AC224" firstHeaderRow="0" firstDataRow="1" firstDataCol="1" rowPageCount="4" colPageCount="1"/>
  <pivotFields count="103">
    <pivotField axis="axisPage" showAll="0">
      <items count="21">
        <item x="0"/>
        <item x="1"/>
        <item x="2"/>
        <item x="4"/>
        <item x="5"/>
        <item m="1" x="19"/>
        <item x="6"/>
        <item x="7"/>
        <item x="8"/>
        <item x="9"/>
        <item x="10"/>
        <item x="11"/>
        <item x="12"/>
        <item x="13"/>
        <item x="14"/>
        <item x="15"/>
        <item x="16"/>
        <item x="17"/>
        <item x="18"/>
        <item x="3"/>
        <item t="default"/>
      </items>
    </pivotField>
    <pivotField showAll="0"/>
    <pivotField axis="axisPage" showAll="0">
      <items count="11">
        <item x="2"/>
        <item x="1"/>
        <item x="9"/>
        <item x="7"/>
        <item x="0"/>
        <item x="8"/>
        <item x="4"/>
        <item x="5"/>
        <item x="3"/>
        <item x="6"/>
        <item t="default"/>
      </items>
    </pivotField>
    <pivotField axis="axisRow" showAll="0">
      <items count="213">
        <item m="1" x="173"/>
        <item x="18"/>
        <item x="19"/>
        <item x="0"/>
        <item x="1"/>
        <item x="20"/>
        <item x="21"/>
        <item x="79"/>
        <item x="2"/>
        <item x="144"/>
        <item x="22"/>
        <item x="23"/>
        <item m="1" x="211"/>
        <item x="160"/>
        <item x="161"/>
        <item x="53"/>
        <item x="54"/>
        <item x="24"/>
        <item x="12"/>
        <item x="13"/>
        <item x="56"/>
        <item m="1" x="189"/>
        <item x="25"/>
        <item x="151"/>
        <item x="120"/>
        <item x="121"/>
        <item x="122"/>
        <item x="81"/>
        <item x="162"/>
        <item x="163"/>
        <item x="164"/>
        <item x="26"/>
        <item x="27"/>
        <item m="1" x="177"/>
        <item x="28"/>
        <item x="14"/>
        <item x="82"/>
        <item x="4"/>
        <item m="1" x="208"/>
        <item m="1" x="210"/>
        <item x="123"/>
        <item x="124"/>
        <item x="145"/>
        <item x="83"/>
        <item x="84"/>
        <item x="85"/>
        <item x="86"/>
        <item x="42"/>
        <item x="44"/>
        <item x="45"/>
        <item x="125"/>
        <item x="69"/>
        <item x="41"/>
        <item m="1" x="191"/>
        <item x="57"/>
        <item x="154"/>
        <item x="126"/>
        <item x="127"/>
        <item x="15"/>
        <item x="30"/>
        <item x="31"/>
        <item x="5"/>
        <item m="1" x="172"/>
        <item x="88"/>
        <item x="89"/>
        <item x="90"/>
        <item x="91"/>
        <item m="1" x="205"/>
        <item x="93"/>
        <item x="94"/>
        <item x="95"/>
        <item m="1" x="195"/>
        <item x="165"/>
        <item x="166"/>
        <item x="96"/>
        <item x="167"/>
        <item x="168"/>
        <item x="169"/>
        <item x="170"/>
        <item x="58"/>
        <item x="59"/>
        <item x="128"/>
        <item x="97"/>
        <item x="98"/>
        <item x="129"/>
        <item x="99"/>
        <item x="60"/>
        <item x="61"/>
        <item x="100"/>
        <item x="67"/>
        <item x="68"/>
        <item x="71"/>
        <item x="64"/>
        <item x="130"/>
        <item x="131"/>
        <item x="32"/>
        <item x="46"/>
        <item x="101"/>
        <item m="1" x="194"/>
        <item x="47"/>
        <item x="48"/>
        <item x="118"/>
        <item x="119"/>
        <item x="6"/>
        <item x="66"/>
        <item m="1" x="182"/>
        <item x="103"/>
        <item m="1" x="196"/>
        <item x="146"/>
        <item x="147"/>
        <item x="148"/>
        <item m="1" x="206"/>
        <item x="49"/>
        <item x="33"/>
        <item x="150"/>
        <item x="132"/>
        <item x="7"/>
        <item x="34"/>
        <item x="40"/>
        <item x="72"/>
        <item m="1" x="180"/>
        <item x="171"/>
        <item x="77"/>
        <item x="104"/>
        <item x="105"/>
        <item x="133"/>
        <item x="153"/>
        <item x="134"/>
        <item x="106"/>
        <item x="107"/>
        <item x="108"/>
        <item x="109"/>
        <item x="110"/>
        <item x="111"/>
        <item x="112"/>
        <item m="1" x="200"/>
        <item m="1" x="186"/>
        <item x="16"/>
        <item m="1" x="174"/>
        <item x="8"/>
        <item x="113"/>
        <item m="1" x="198"/>
        <item m="1" x="184"/>
        <item m="1" x="178"/>
        <item m="1" x="188"/>
        <item m="1" x="209"/>
        <item x="35"/>
        <item x="9"/>
        <item x="36"/>
        <item x="135"/>
        <item x="136"/>
        <item m="1" x="201"/>
        <item x="155"/>
        <item x="156"/>
        <item x="137"/>
        <item x="78"/>
        <item m="1" x="185"/>
        <item x="10"/>
        <item x="114"/>
        <item x="138"/>
        <item x="139"/>
        <item m="1" x="197"/>
        <item x="140"/>
        <item x="141"/>
        <item x="142"/>
        <item m="1" x="192"/>
        <item m="1" x="199"/>
        <item m="1" x="207"/>
        <item x="37"/>
        <item m="1" x="202"/>
        <item x="143"/>
        <item x="11"/>
        <item x="38"/>
        <item m="1" x="204"/>
        <item x="52"/>
        <item m="1" x="183"/>
        <item m="1" x="181"/>
        <item m="1" x="193"/>
        <item x="55"/>
        <item x="102"/>
        <item x="3"/>
        <item x="29"/>
        <item x="92"/>
        <item x="65"/>
        <item x="157"/>
        <item m="1" x="179"/>
        <item x="17"/>
        <item m="1" x="203"/>
        <item x="152"/>
        <item x="39"/>
        <item m="1" x="190"/>
        <item x="74"/>
        <item x="73"/>
        <item x="70"/>
        <item x="51"/>
        <item x="63"/>
        <item x="149"/>
        <item x="75"/>
        <item x="76"/>
        <item x="80"/>
        <item m="1" x="187"/>
        <item x="115"/>
        <item x="116"/>
        <item x="117"/>
        <item m="1" x="175"/>
        <item m="1" x="176"/>
        <item x="43"/>
        <item x="50"/>
        <item x="62"/>
        <item x="158"/>
        <item x="159"/>
        <item x="87"/>
        <item t="default"/>
      </items>
    </pivotField>
    <pivotField showAll="0"/>
    <pivotField showAll="0"/>
    <pivotField axis="axisPage" multipleItemSelectionAllowed="1" showAll="0">
      <items count="5">
        <item x="0"/>
        <item h="1" x="2"/>
        <item h="1" x="1"/>
        <item h="1"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pivotField showAll="0" defaultSubtotal="0"/>
    <pivotField showAll="0"/>
    <pivotField showAll="0"/>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
  </rowFields>
  <rowItems count="141">
    <i>
      <x v="1"/>
    </i>
    <i>
      <x v="2"/>
    </i>
    <i>
      <x v="3"/>
    </i>
    <i>
      <x v="4"/>
    </i>
    <i>
      <x v="5"/>
    </i>
    <i>
      <x v="6"/>
    </i>
    <i>
      <x v="7"/>
    </i>
    <i>
      <x v="8"/>
    </i>
    <i>
      <x v="9"/>
    </i>
    <i>
      <x v="10"/>
    </i>
    <i>
      <x v="11"/>
    </i>
    <i>
      <x v="13"/>
    </i>
    <i>
      <x v="15"/>
    </i>
    <i>
      <x v="16"/>
    </i>
    <i>
      <x v="17"/>
    </i>
    <i>
      <x v="19"/>
    </i>
    <i>
      <x v="20"/>
    </i>
    <i>
      <x v="22"/>
    </i>
    <i>
      <x v="24"/>
    </i>
    <i>
      <x v="25"/>
    </i>
    <i>
      <x v="26"/>
    </i>
    <i>
      <x v="27"/>
    </i>
    <i>
      <x v="29"/>
    </i>
    <i>
      <x v="30"/>
    </i>
    <i>
      <x v="31"/>
    </i>
    <i>
      <x v="32"/>
    </i>
    <i>
      <x v="34"/>
    </i>
    <i>
      <x v="35"/>
    </i>
    <i>
      <x v="36"/>
    </i>
    <i>
      <x v="37"/>
    </i>
    <i>
      <x v="40"/>
    </i>
    <i>
      <x v="41"/>
    </i>
    <i>
      <x v="42"/>
    </i>
    <i>
      <x v="43"/>
    </i>
    <i>
      <x v="44"/>
    </i>
    <i>
      <x v="45"/>
    </i>
    <i>
      <x v="47"/>
    </i>
    <i>
      <x v="48"/>
    </i>
    <i>
      <x v="49"/>
    </i>
    <i>
      <x v="50"/>
    </i>
    <i>
      <x v="51"/>
    </i>
    <i>
      <x v="52"/>
    </i>
    <i>
      <x v="54"/>
    </i>
    <i>
      <x v="55"/>
    </i>
    <i>
      <x v="56"/>
    </i>
    <i>
      <x v="57"/>
    </i>
    <i>
      <x v="58"/>
    </i>
    <i>
      <x v="59"/>
    </i>
    <i>
      <x v="60"/>
    </i>
    <i>
      <x v="61"/>
    </i>
    <i>
      <x v="63"/>
    </i>
    <i>
      <x v="64"/>
    </i>
    <i>
      <x v="65"/>
    </i>
    <i>
      <x v="66"/>
    </i>
    <i>
      <x v="68"/>
    </i>
    <i>
      <x v="70"/>
    </i>
    <i>
      <x v="72"/>
    </i>
    <i>
      <x v="73"/>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8"/>
    </i>
    <i>
      <x v="109"/>
    </i>
    <i>
      <x v="110"/>
    </i>
    <i>
      <x v="112"/>
    </i>
    <i>
      <x v="113"/>
    </i>
    <i>
      <x v="114"/>
    </i>
    <i>
      <x v="115"/>
    </i>
    <i>
      <x v="116"/>
    </i>
    <i>
      <x v="117"/>
    </i>
    <i>
      <x v="118"/>
    </i>
    <i>
      <x v="119"/>
    </i>
    <i>
      <x v="121"/>
    </i>
    <i>
      <x v="122"/>
    </i>
    <i>
      <x v="123"/>
    </i>
    <i>
      <x v="124"/>
    </i>
    <i>
      <x v="125"/>
    </i>
    <i>
      <x v="127"/>
    </i>
    <i>
      <x v="128"/>
    </i>
    <i>
      <x v="129"/>
    </i>
    <i>
      <x v="130"/>
    </i>
    <i>
      <x v="137"/>
    </i>
    <i>
      <x v="139"/>
    </i>
    <i>
      <x v="146"/>
    </i>
    <i>
      <x v="147"/>
    </i>
    <i>
      <x v="148"/>
    </i>
    <i>
      <x v="149"/>
    </i>
    <i>
      <x v="150"/>
    </i>
    <i>
      <x v="152"/>
    </i>
    <i>
      <x v="153"/>
    </i>
    <i>
      <x v="154"/>
    </i>
    <i>
      <x v="155"/>
    </i>
    <i>
      <x v="157"/>
    </i>
    <i>
      <x v="159"/>
    </i>
    <i>
      <x v="160"/>
    </i>
    <i>
      <x v="162"/>
    </i>
    <i>
      <x v="163"/>
    </i>
    <i>
      <x v="164"/>
    </i>
    <i>
      <x v="168"/>
    </i>
    <i>
      <x v="170"/>
    </i>
    <i>
      <x v="171"/>
    </i>
    <i>
      <x v="172"/>
    </i>
    <i>
      <x v="174"/>
    </i>
    <i>
      <x v="178"/>
    </i>
    <i>
      <x v="181"/>
    </i>
    <i>
      <x v="182"/>
    </i>
    <i>
      <x v="186"/>
    </i>
    <i>
      <x v="188"/>
    </i>
    <i>
      <x v="189"/>
    </i>
    <i>
      <x v="192"/>
    </i>
    <i>
      <x v="193"/>
    </i>
    <i>
      <x v="194"/>
    </i>
    <i>
      <x v="209"/>
    </i>
    <i>
      <x v="210"/>
    </i>
    <i>
      <x v="211"/>
    </i>
    <i t="grand">
      <x/>
    </i>
  </rowItems>
  <colFields count="1">
    <field x="-2"/>
  </colFields>
  <colItems count="3">
    <i>
      <x/>
    </i>
    <i i="1">
      <x v="1"/>
    </i>
    <i i="2">
      <x v="2"/>
    </i>
  </colItems>
  <pageFields count="4">
    <pageField fld="0" hier="-1"/>
    <pageField fld="2" hier="-1"/>
    <pageField fld="7" hier="-1"/>
    <pageField fld="6" hier="-1"/>
  </pageFields>
  <dataFields count="3">
    <dataField name="% Water Need coverage" fld="93" baseField="0" baseItem="0" numFmtId="9"/>
    <dataField name="% Latrine need coverage" fld="94" baseField="0" baseItem="0" numFmtId="1"/>
    <dataField name="% Bathroom need coverage" fld="95" baseField="0" baseItem="0" numFmtId="1"/>
  </dataFields>
  <formats count="1">
    <format dxfId="119">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6"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21:C424" firstHeaderRow="1" firstDataRow="1" firstDataCol="1" rowPageCount="3" colPageCount="1"/>
  <pivotFields count="103">
    <pivotField showAll="0"/>
    <pivotField showAll="0"/>
    <pivotField showAll="0"/>
    <pivotField showAll="0"/>
    <pivotField showAll="0"/>
    <pivotField showAll="0"/>
    <pivotField axis="axisPage" multipleItemSelectionAllowed="1" showAll="0">
      <items count="5">
        <item x="0"/>
        <item h="1" x="2"/>
        <item h="1" x="1"/>
        <item h="1"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axis="axisRow" dataField="1" showAll="0">
      <items count="16">
        <item m="1" x="4"/>
        <item m="1" x="9"/>
        <item x="0"/>
        <item m="1" x="8"/>
        <item m="1" x="6"/>
        <item m="1" x="13"/>
        <item m="1" x="10"/>
        <item m="1" x="7"/>
        <item m="1" x="11"/>
        <item m="1" x="12"/>
        <item m="1" x="14"/>
        <item x="1"/>
        <item x="2"/>
        <item x="3"/>
        <item m="1" x="5"/>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1"/>
  </rowFields>
  <rowItems count="3">
    <i>
      <x v="2"/>
    </i>
    <i>
      <x v="12"/>
    </i>
    <i t="grand">
      <x/>
    </i>
  </rowItems>
  <colItems count="1">
    <i/>
  </colItems>
  <pageFields count="3">
    <pageField fld="6" hier="-1"/>
    <pageField fld="7" hier="-1"/>
    <pageField fld="21" hier="-1"/>
  </pageFields>
  <dataFields count="1">
    <dataField name="Count of Community management organise and efficient in camps" fld="91" subtotal="count" baseField="0" baseItem="0" numFmtId="3"/>
  </dataFields>
  <formats count="5">
    <format dxfId="124">
      <pivotArea outline="0" collapsedLevelsAreSubtotals="1" fieldPosition="0"/>
    </format>
    <format dxfId="123">
      <pivotArea outline="0" collapsedLevelsAreSubtotals="1" fieldPosition="0"/>
    </format>
    <format dxfId="122">
      <pivotArea outline="0" fieldPosition="0">
        <references count="1">
          <reference field="4294967294" count="1">
            <x v="0"/>
          </reference>
        </references>
      </pivotArea>
    </format>
    <format dxfId="121">
      <pivotArea field="91" type="button" dataOnly="0" labelOnly="1" outline="0" axis="axisRow" fieldPosition="0"/>
    </format>
    <format dxfId="120">
      <pivotArea dataOnly="0" labelOnly="1" outline="0" axis="axisValues" fieldPosition="0"/>
    </format>
  </formats>
  <chartFormats count="20">
    <chartFormat chart="28" format="0" series="1">
      <pivotArea type="data" outline="0" fieldPosition="0">
        <references count="1">
          <reference field="4294967294" count="1" selected="0">
            <x v="0"/>
          </reference>
        </references>
      </pivotArea>
    </chartFormat>
    <chartFormat chart="28" format="1">
      <pivotArea type="data" outline="0" fieldPosition="0">
        <references count="2">
          <reference field="4294967294" count="1" selected="0">
            <x v="0"/>
          </reference>
          <reference field="91" count="1" selected="0">
            <x v="2"/>
          </reference>
        </references>
      </pivotArea>
    </chartFormat>
    <chartFormat chart="28" format="2">
      <pivotArea type="data" outline="0" fieldPosition="0">
        <references count="2">
          <reference field="4294967294" count="1" selected="0">
            <x v="0"/>
          </reference>
          <reference field="91" count="1" selected="0">
            <x v="7"/>
          </reference>
        </references>
      </pivotArea>
    </chartFormat>
    <chartFormat chart="28" format="3">
      <pivotArea type="data" outline="0" fieldPosition="0">
        <references count="2">
          <reference field="4294967294" count="1" selected="0">
            <x v="0"/>
          </reference>
          <reference field="91" count="1" selected="0">
            <x v="11"/>
          </reference>
        </references>
      </pivotArea>
    </chartFormat>
    <chartFormat chart="28" format="4">
      <pivotArea type="data" outline="0" fieldPosition="0">
        <references count="2">
          <reference field="4294967294" count="1" selected="0">
            <x v="0"/>
          </reference>
          <reference field="91" count="1" selected="0">
            <x v="12"/>
          </reference>
        </references>
      </pivotArea>
    </chartFormat>
    <chartFormat chart="28" format="5">
      <pivotArea type="data" outline="0" fieldPosition="0">
        <references count="2">
          <reference field="4294967294" count="1" selected="0">
            <x v="0"/>
          </reference>
          <reference field="91" count="1" selected="0">
            <x v="8"/>
          </reference>
        </references>
      </pivotArea>
    </chartFormat>
    <chartFormat chart="35" format="12" series="1">
      <pivotArea type="data" outline="0" fieldPosition="0">
        <references count="1">
          <reference field="4294967294" count="1" selected="0">
            <x v="0"/>
          </reference>
        </references>
      </pivotArea>
    </chartFormat>
    <chartFormat chart="35" format="13">
      <pivotArea type="data" outline="0" fieldPosition="0">
        <references count="2">
          <reference field="4294967294" count="1" selected="0">
            <x v="0"/>
          </reference>
          <reference field="91" count="1" selected="0">
            <x v="2"/>
          </reference>
        </references>
      </pivotArea>
    </chartFormat>
    <chartFormat chart="35" format="14">
      <pivotArea type="data" outline="0" fieldPosition="0">
        <references count="2">
          <reference field="4294967294" count="1" selected="0">
            <x v="0"/>
          </reference>
          <reference field="91" count="1" selected="0">
            <x v="7"/>
          </reference>
        </references>
      </pivotArea>
    </chartFormat>
    <chartFormat chart="35" format="15">
      <pivotArea type="data" outline="0" fieldPosition="0">
        <references count="2">
          <reference field="4294967294" count="1" selected="0">
            <x v="0"/>
          </reference>
          <reference field="91" count="1" selected="0">
            <x v="8"/>
          </reference>
        </references>
      </pivotArea>
    </chartFormat>
    <chartFormat chart="35" format="16">
      <pivotArea type="data" outline="0" fieldPosition="0">
        <references count="2">
          <reference field="4294967294" count="1" selected="0">
            <x v="0"/>
          </reference>
          <reference field="91" count="1" selected="0">
            <x v="11"/>
          </reference>
        </references>
      </pivotArea>
    </chartFormat>
    <chartFormat chart="35" format="17">
      <pivotArea type="data" outline="0" fieldPosition="0">
        <references count="2">
          <reference field="4294967294" count="1" selected="0">
            <x v="0"/>
          </reference>
          <reference field="91" count="1" selected="0">
            <x v="12"/>
          </reference>
        </references>
      </pivotArea>
    </chartFormat>
    <chartFormat chart="35" format="18">
      <pivotArea type="data" outline="0" fieldPosition="0">
        <references count="2">
          <reference field="4294967294" count="1" selected="0">
            <x v="0"/>
          </reference>
          <reference field="91" count="1" selected="0">
            <x v="0"/>
          </reference>
        </references>
      </pivotArea>
    </chartFormat>
    <chartFormat chart="28" format="6">
      <pivotArea type="data" outline="0" fieldPosition="0">
        <references count="2">
          <reference field="4294967294" count="1" selected="0">
            <x v="0"/>
          </reference>
          <reference field="91" count="1" selected="0">
            <x v="0"/>
          </reference>
        </references>
      </pivotArea>
    </chartFormat>
    <chartFormat chart="28" format="7">
      <pivotArea type="data" outline="0" fieldPosition="0">
        <references count="2">
          <reference field="4294967294" count="1" selected="0">
            <x v="0"/>
          </reference>
          <reference field="91" count="1" selected="0">
            <x v="10"/>
          </reference>
        </references>
      </pivotArea>
    </chartFormat>
    <chartFormat chart="35" format="19">
      <pivotArea type="data" outline="0" fieldPosition="0">
        <references count="2">
          <reference field="4294967294" count="1" selected="0">
            <x v="0"/>
          </reference>
          <reference field="91" count="1" selected="0">
            <x v="10"/>
          </reference>
        </references>
      </pivotArea>
    </chartFormat>
    <chartFormat chart="35" format="20">
      <pivotArea type="data" outline="0" fieldPosition="0">
        <references count="2">
          <reference field="4294967294" count="1" selected="0">
            <x v="0"/>
          </reference>
          <reference field="91" count="1" selected="0">
            <x v="14"/>
          </reference>
        </references>
      </pivotArea>
    </chartFormat>
    <chartFormat chart="28" format="8">
      <pivotArea type="data" outline="0" fieldPosition="0">
        <references count="2">
          <reference field="4294967294" count="1" selected="0">
            <x v="0"/>
          </reference>
          <reference field="91" count="1" selected="0">
            <x v="14"/>
          </reference>
        </references>
      </pivotArea>
    </chartFormat>
    <chartFormat chart="35" format="21">
      <pivotArea type="data" outline="0" fieldPosition="0">
        <references count="2">
          <reference field="4294967294" count="1" selected="0">
            <x v="0"/>
          </reference>
          <reference field="91" count="1" selected="0">
            <x v="13"/>
          </reference>
        </references>
      </pivotArea>
    </chartFormat>
    <chartFormat chart="28" format="9">
      <pivotArea type="data" outline="0" fieldPosition="0">
        <references count="2">
          <reference field="4294967294" count="1" selected="0">
            <x v="0"/>
          </reference>
          <reference field="91"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5"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32:E52" firstHeaderRow="0" firstDataRow="1" firstDataCol="1" rowPageCount="3" colPageCount="1"/>
  <pivotFields count="103">
    <pivotField axis="axisRow" showAll="0">
      <items count="21">
        <item x="0"/>
        <item x="1"/>
        <item x="2"/>
        <item x="4"/>
        <item x="5"/>
        <item m="1" x="19"/>
        <item x="6"/>
        <item x="7"/>
        <item x="8"/>
        <item x="9"/>
        <item x="10"/>
        <item x="11"/>
        <item x="12"/>
        <item x="13"/>
        <item x="14"/>
        <item x="15"/>
        <item x="16"/>
        <item x="17"/>
        <item x="18"/>
        <item x="3"/>
        <item t="default"/>
      </items>
    </pivotField>
    <pivotField showAll="0"/>
    <pivotField axis="axisPage" showAll="0">
      <items count="11">
        <item x="2"/>
        <item x="1"/>
        <item x="9"/>
        <item x="7"/>
        <item x="0"/>
        <item x="8"/>
        <item x="4"/>
        <item x="5"/>
        <item x="3"/>
        <item x="6"/>
        <item t="default"/>
      </items>
    </pivotField>
    <pivotField showAll="0"/>
    <pivotField showAll="0"/>
    <pivotField showAll="0"/>
    <pivotField axis="axisPage" multipleItemSelectionAllowed="1" showAll="0">
      <items count="5">
        <item x="0"/>
        <item h="1" x="2"/>
        <item h="1" x="1"/>
        <item h="1" m="1" x="3"/>
        <item t="default"/>
      </items>
    </pivotField>
    <pivotField showAl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6"/>
    </i>
    <i>
      <x v="7"/>
    </i>
    <i>
      <x v="8"/>
    </i>
    <i>
      <x v="9"/>
    </i>
    <i>
      <x v="10"/>
    </i>
    <i>
      <x v="11"/>
    </i>
    <i>
      <x v="12"/>
    </i>
    <i>
      <x v="13"/>
    </i>
    <i>
      <x v="14"/>
    </i>
    <i>
      <x v="15"/>
    </i>
    <i>
      <x v="16"/>
    </i>
    <i>
      <x v="17"/>
    </i>
    <i>
      <x v="18"/>
    </i>
    <i>
      <x v="19"/>
    </i>
    <i t="grand">
      <x/>
    </i>
  </rowItems>
  <colFields count="1">
    <field x="-2"/>
  </colFields>
  <colItems count="3">
    <i>
      <x/>
    </i>
    <i i="1">
      <x v="1"/>
    </i>
    <i i="2">
      <x v="2"/>
    </i>
  </colItems>
  <pageFields count="3">
    <pageField fld="6" hier="-1"/>
    <pageField fld="2" hier="-1"/>
    <pageField fld="21" hier="-1"/>
  </pageFields>
  <dataFields count="3">
    <dataField name="% Water Need coverage" fld="93" baseField="0" baseItem="0" numFmtId="1"/>
    <dataField name="%  Latrine need coverage" fld="94" baseField="0" baseItem="0" numFmtId="1"/>
    <dataField name="% Bathroom need coverage" fld="95" baseField="0" baseItem="0" numFmtId="1"/>
  </dataFields>
  <formats count="26">
    <format dxfId="150">
      <pivotArea outline="0" collapsedLevelsAreSubtotals="1" fieldPosition="0"/>
    </format>
    <format dxfId="149">
      <pivotArea field="0" type="button" dataOnly="0" labelOnly="1" outline="0" axis="axisRow" fieldPosition="0"/>
    </format>
    <format dxfId="148">
      <pivotArea dataOnly="0" labelOnly="1" outline="0" fieldPosition="0">
        <references count="1">
          <reference field="4294967294" count="3">
            <x v="0"/>
            <x v="1"/>
            <x v="2"/>
          </reference>
        </references>
      </pivotArea>
    </format>
    <format dxfId="147">
      <pivotArea collapsedLevelsAreSubtotals="1" fieldPosition="0">
        <references count="1">
          <reference field="0" count="0"/>
        </references>
      </pivotArea>
    </format>
    <format dxfId="146">
      <pivotArea dataOnly="0" labelOnly="1" outline="0" fieldPosition="0">
        <references count="1">
          <reference field="4294967294" count="3">
            <x v="0"/>
            <x v="1"/>
            <x v="2"/>
          </reference>
        </references>
      </pivotArea>
    </format>
    <format dxfId="145">
      <pivotArea grandRow="1" outline="0" collapsedLevelsAreSubtotals="1" fieldPosition="0"/>
    </format>
    <format dxfId="144">
      <pivotArea dataOnly="0" labelOnly="1" fieldPosition="0">
        <references count="1">
          <reference field="0" count="1">
            <x v="15"/>
          </reference>
        </references>
      </pivotArea>
    </format>
    <format dxfId="143">
      <pivotArea dataOnly="0" labelOnly="1" fieldPosition="0">
        <references count="1">
          <reference field="0" count="1">
            <x v="5"/>
          </reference>
        </references>
      </pivotArea>
    </format>
    <format dxfId="142">
      <pivotArea dataOnly="0" labelOnly="1" fieldPosition="0">
        <references count="1">
          <reference field="0" count="1">
            <x v="3"/>
          </reference>
        </references>
      </pivotArea>
    </format>
    <format dxfId="141">
      <pivotArea dataOnly="0" labelOnly="1" fieldPosition="0">
        <references count="1">
          <reference field="0" count="1">
            <x v="17"/>
          </reference>
        </references>
      </pivotArea>
    </format>
    <format dxfId="140">
      <pivotArea dataOnly="0" labelOnly="1" fieldPosition="0">
        <references count="1">
          <reference field="0" count="1">
            <x v="1"/>
          </reference>
        </references>
      </pivotArea>
    </format>
    <format dxfId="139">
      <pivotArea dataOnly="0" labelOnly="1" fieldPosition="0">
        <references count="1">
          <reference field="0" count="1">
            <x v="18"/>
          </reference>
        </references>
      </pivotArea>
    </format>
    <format dxfId="138">
      <pivotArea dataOnly="0" labelOnly="1" fieldPosition="0">
        <references count="1">
          <reference field="0" count="1">
            <x v="12"/>
          </reference>
        </references>
      </pivotArea>
    </format>
    <format dxfId="137">
      <pivotArea dataOnly="0" labelOnly="1" fieldPosition="0">
        <references count="1">
          <reference field="0" count="1">
            <x v="2"/>
          </reference>
        </references>
      </pivotArea>
    </format>
    <format dxfId="136">
      <pivotArea dataOnly="0" labelOnly="1" fieldPosition="0">
        <references count="1">
          <reference field="0" count="1">
            <x v="8"/>
          </reference>
        </references>
      </pivotArea>
    </format>
    <format dxfId="135">
      <pivotArea dataOnly="0" labelOnly="1" fieldPosition="0">
        <references count="1">
          <reference field="0" count="1">
            <x v="9"/>
          </reference>
        </references>
      </pivotArea>
    </format>
    <format dxfId="134">
      <pivotArea dataOnly="0" labelOnly="1" fieldPosition="0">
        <references count="1">
          <reference field="0" count="1">
            <x v="10"/>
          </reference>
        </references>
      </pivotArea>
    </format>
    <format dxfId="133">
      <pivotArea dataOnly="0" labelOnly="1" fieldPosition="0">
        <references count="1">
          <reference field="0" count="1">
            <x v="16"/>
          </reference>
        </references>
      </pivotArea>
    </format>
    <format dxfId="132">
      <pivotArea dataOnly="0" labelOnly="1" fieldPosition="0">
        <references count="1">
          <reference field="0" count="1">
            <x v="6"/>
          </reference>
        </references>
      </pivotArea>
    </format>
    <format dxfId="131">
      <pivotArea dataOnly="0" labelOnly="1" fieldPosition="0">
        <references count="1">
          <reference field="0" count="1">
            <x v="0"/>
          </reference>
        </references>
      </pivotArea>
    </format>
    <format dxfId="130">
      <pivotArea dataOnly="0" labelOnly="1" fieldPosition="0">
        <references count="1">
          <reference field="0" count="1">
            <x v="11"/>
          </reference>
        </references>
      </pivotArea>
    </format>
    <format dxfId="129">
      <pivotArea dataOnly="0" labelOnly="1" fieldPosition="0">
        <references count="1">
          <reference field="0" count="1">
            <x v="13"/>
          </reference>
        </references>
      </pivotArea>
    </format>
    <format dxfId="128">
      <pivotArea dataOnly="0" labelOnly="1" fieldPosition="0">
        <references count="1">
          <reference field="0" count="1">
            <x v="14"/>
          </reference>
        </references>
      </pivotArea>
    </format>
    <format dxfId="127">
      <pivotArea dataOnly="0" labelOnly="1" fieldPosition="0">
        <references count="1">
          <reference field="0" count="1">
            <x v="7"/>
          </reference>
        </references>
      </pivotArea>
    </format>
    <format dxfId="126">
      <pivotArea dataOnly="0" labelOnly="1" fieldPosition="0">
        <references count="1">
          <reference field="0" count="1">
            <x v="4"/>
          </reference>
        </references>
      </pivotArea>
    </format>
    <format dxfId="125">
      <pivotArea dataOnly="0" labelOnly="1" fieldPosition="0">
        <references count="1">
          <reference field="0" count="0"/>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9"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3">
  <location ref="B674:E686" firstHeaderRow="1" firstDataRow="2" firstDataCol="1" rowPageCount="2" colPageCount="1"/>
  <pivotFields count="103">
    <pivotField showAll="0"/>
    <pivotField showAll="0"/>
    <pivotField axis="axisRow" showAll="0">
      <items count="11">
        <item x="2"/>
        <item x="9"/>
        <item x="7"/>
        <item x="0"/>
        <item x="8"/>
        <item x="4"/>
        <item x="5"/>
        <item x="3"/>
        <item x="6"/>
        <item x="1"/>
        <item t="default"/>
      </items>
    </pivotField>
    <pivotField showAll="0"/>
    <pivotField showAll="0"/>
    <pivotField showAll="0"/>
    <pivotField axis="axisPage" multipleItemSelectionAllowed="1" showAll="0">
      <items count="5">
        <item x="0"/>
        <item x="2"/>
        <item x="1"/>
        <item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Col" dataField="1"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1"/>
  </colFields>
  <colItems count="3">
    <i>
      <x/>
    </i>
    <i>
      <x v="1"/>
    </i>
    <i t="grand">
      <x/>
    </i>
  </colItems>
  <pageFields count="2">
    <pageField fld="6" hier="-1"/>
    <pageField fld="7" hier="-1"/>
  </pageFields>
  <dataFields count="1">
    <dataField name="Count of Documented" fld="21" subtotal="count" baseField="0" baseItem="0"/>
  </dataFields>
  <formats count="3">
    <format dxfId="153">
      <pivotArea outline="0" collapsedLevelsAreSubtotals="1" fieldPosition="0"/>
    </format>
    <format dxfId="152">
      <pivotArea outline="0" collapsedLevelsAreSubtotals="1" fieldPosition="0"/>
    </format>
    <format dxfId="151">
      <pivotArea outline="0" collapsedLevelsAreSubtotals="1" fieldPosition="0"/>
    </format>
  </formats>
  <chartFormats count="4">
    <chartFormat chart="48" format="0" series="1">
      <pivotArea type="data" outline="0" fieldPosition="0">
        <references count="2">
          <reference field="4294967294" count="1" selected="0">
            <x v="0"/>
          </reference>
          <reference field="21" count="1" selected="0">
            <x v="0"/>
          </reference>
        </references>
      </pivotArea>
    </chartFormat>
    <chartFormat chart="48" format="1" series="1">
      <pivotArea type="data" outline="0" fieldPosition="0">
        <references count="2">
          <reference field="4294967294" count="1" selected="0">
            <x v="0"/>
          </reference>
          <reference field="21" count="1" selected="0">
            <x v="1"/>
          </reference>
        </references>
      </pivotArea>
    </chartFormat>
    <chartFormat chart="50" format="0" series="1">
      <pivotArea type="data" outline="0" fieldPosition="0">
        <references count="2">
          <reference field="4294967294" count="1" selected="0">
            <x v="0"/>
          </reference>
          <reference field="21" count="1" selected="0">
            <x v="0"/>
          </reference>
        </references>
      </pivotArea>
    </chartFormat>
    <chartFormat chart="50" format="1" series="1">
      <pivotArea type="data" outline="0" fieldPosition="0">
        <references count="2">
          <reference field="4294967294" count="1" selected="0">
            <x v="0"/>
          </reference>
          <reference field="2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4"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378:C389" firstHeaderRow="1" firstDataRow="1" firstDataCol="1" rowPageCount="3" colPageCount="1"/>
  <pivotFields count="103">
    <pivotField showAll="0"/>
    <pivotField showAll="0"/>
    <pivotField axis="axisRow" showAll="0">
      <items count="11">
        <item x="2"/>
        <item x="9"/>
        <item x="7"/>
        <item x="0"/>
        <item x="8"/>
        <item x="4"/>
        <item x="5"/>
        <item x="3"/>
        <item x="6"/>
        <item x="1"/>
        <item t="default"/>
      </items>
    </pivotField>
    <pivotField showAll="0"/>
    <pivotField showAll="0"/>
    <pivotField showAll="0"/>
    <pivotField axis="axisPage" multipleItemSelectionAllowed="1" showAll="0">
      <items count="5">
        <item x="0"/>
        <item h="1" x="2"/>
        <item h="1" x="1"/>
        <item h="1" m="1" x="3"/>
        <item t="default"/>
      </items>
    </pivotField>
    <pivotField axis="axisPage" showAll="0">
      <items count="4">
        <item x="0"/>
        <item x="1"/>
        <item m="1" x="2"/>
        <item t="default"/>
      </items>
    </pivotField>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defaultSubtotal="0"/>
    <pivotField showAll="0"/>
    <pivotField showAll="0"/>
    <pivotField showAll="0"/>
    <pivotField showAll="0"/>
    <pivotField numFmtId="9" showAll="0"/>
    <pivotField numFmtId="9" showAll="0"/>
    <pivotField showAll="0" defaultSubtota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defaultSubtotal="0"/>
    <pivotField showAll="0"/>
    <pivotField showAll="0" defaultSubtota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Items count="1">
    <i/>
  </colItems>
  <pageFields count="3">
    <pageField fld="6" hier="-1"/>
    <pageField fld="7" hier="-1"/>
    <pageField fld="21" hier="-1"/>
  </pageFields>
  <dataFields count="1">
    <dataField name="% Coverage Full HK" fld="98" baseField="0" baseItem="0"/>
  </dataFields>
  <formats count="2">
    <format dxfId="155">
      <pivotArea outline="0" collapsedLevelsAreSubtotals="1" fieldPosition="0"/>
    </format>
    <format dxfId="154">
      <pivotArea outline="0" collapsedLevelsAreSubtotals="1" fieldPosition="0"/>
    </format>
  </formats>
  <chartFormats count="2">
    <chartFormat chart="22" format="0" series="1">
      <pivotArea type="data" outline="0" fieldPosition="0">
        <references count="1">
          <reference field="4294967294" count="1" selected="0">
            <x v="0"/>
          </reference>
        </references>
      </pivotArea>
    </chartFormat>
    <chartFormat chart="2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drawing" Target="../drawings/drawing3.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rinterSettings" Target="../printerSettings/printerSettings2.bin"/><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39.xml"/><Relationship Id="rId3" Type="http://schemas.openxmlformats.org/officeDocument/2006/relationships/pivotTable" Target="../pivotTables/pivotTable34.xml"/><Relationship Id="rId7" Type="http://schemas.openxmlformats.org/officeDocument/2006/relationships/pivotTable" Target="../pivotTables/pivotTable38.xml"/><Relationship Id="rId12" Type="http://schemas.openxmlformats.org/officeDocument/2006/relationships/drawing" Target="../drawings/drawing4.xml"/><Relationship Id="rId2" Type="http://schemas.openxmlformats.org/officeDocument/2006/relationships/pivotTable" Target="../pivotTables/pivotTable33.xml"/><Relationship Id="rId1" Type="http://schemas.openxmlformats.org/officeDocument/2006/relationships/pivotTable" Target="../pivotTables/pivotTable32.xml"/><Relationship Id="rId6" Type="http://schemas.openxmlformats.org/officeDocument/2006/relationships/pivotTable" Target="../pivotTables/pivotTable37.xml"/><Relationship Id="rId11" Type="http://schemas.openxmlformats.org/officeDocument/2006/relationships/printerSettings" Target="../printerSettings/printerSettings3.bin"/><Relationship Id="rId5" Type="http://schemas.openxmlformats.org/officeDocument/2006/relationships/pivotTable" Target="../pivotTables/pivotTable36.xml"/><Relationship Id="rId10" Type="http://schemas.openxmlformats.org/officeDocument/2006/relationships/pivotTable" Target="../pivotTables/pivotTable41.xml"/><Relationship Id="rId4" Type="http://schemas.openxmlformats.org/officeDocument/2006/relationships/pivotTable" Target="../pivotTables/pivotTable35.xml"/><Relationship Id="rId9" Type="http://schemas.openxmlformats.org/officeDocument/2006/relationships/pivotTable" Target="../pivotTables/pivotTable4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3"/>
  <sheetViews>
    <sheetView zoomScale="75" zoomScaleNormal="75" workbookViewId="0">
      <selection activeCell="N27" sqref="N27"/>
    </sheetView>
  </sheetViews>
  <sheetFormatPr defaultColWidth="8.85546875" defaultRowHeight="15" x14ac:dyDescent="0.25"/>
  <cols>
    <col min="1" max="1" width="8.140625" style="1" customWidth="1"/>
    <col min="2" max="2" width="2.5703125" style="1" customWidth="1"/>
    <col min="3" max="16384" width="8.85546875" style="1"/>
  </cols>
  <sheetData>
    <row r="1" spans="2:20" ht="28.15" customHeight="1" thickBot="1" x14ac:dyDescent="0.3"/>
    <row r="2" spans="2:20" s="9" customFormat="1" ht="35.450000000000003" customHeight="1" thickTop="1" thickBot="1" x14ac:dyDescent="0.3">
      <c r="B2" s="877" t="s">
        <v>72</v>
      </c>
      <c r="C2" s="878"/>
      <c r="D2" s="878"/>
      <c r="E2" s="878"/>
      <c r="F2" s="878"/>
      <c r="G2" s="878"/>
      <c r="H2" s="878"/>
      <c r="I2" s="878"/>
      <c r="J2" s="878"/>
      <c r="K2" s="878"/>
      <c r="L2" s="878"/>
      <c r="M2" s="878"/>
      <c r="N2" s="878"/>
      <c r="O2" s="878"/>
      <c r="P2" s="878"/>
      <c r="Q2" s="878"/>
      <c r="R2" s="878"/>
      <c r="S2" s="878"/>
      <c r="T2" s="879"/>
    </row>
    <row r="3" spans="2:20" ht="15.75" thickTop="1" x14ac:dyDescent="0.25">
      <c r="B3" s="2"/>
      <c r="C3" s="3"/>
      <c r="D3" s="3"/>
      <c r="E3" s="3"/>
      <c r="F3" s="3"/>
      <c r="G3" s="3"/>
      <c r="H3" s="3"/>
      <c r="I3" s="3"/>
      <c r="J3" s="3"/>
      <c r="K3" s="3"/>
      <c r="L3" s="3"/>
      <c r="M3" s="3"/>
      <c r="N3" s="3"/>
      <c r="O3" s="3"/>
      <c r="P3" s="3"/>
      <c r="Q3" s="3"/>
      <c r="R3" s="3"/>
      <c r="S3" s="3"/>
      <c r="T3" s="4"/>
    </row>
    <row r="4" spans="2:20" x14ac:dyDescent="0.25">
      <c r="B4" s="2"/>
      <c r="C4" s="5" t="s">
        <v>34</v>
      </c>
      <c r="D4" s="3"/>
      <c r="E4" s="3"/>
      <c r="F4" s="3"/>
      <c r="G4" s="3"/>
      <c r="H4" s="3"/>
      <c r="I4" s="3"/>
      <c r="J4" s="3"/>
      <c r="K4" s="3"/>
      <c r="L4" s="3"/>
      <c r="M4" s="3"/>
      <c r="N4" s="3"/>
      <c r="O4" s="3"/>
      <c r="P4" s="3"/>
      <c r="Q4" s="3"/>
      <c r="R4" s="3"/>
      <c r="S4" s="3"/>
      <c r="T4" s="4"/>
    </row>
    <row r="5" spans="2:20" x14ac:dyDescent="0.25">
      <c r="B5" s="2"/>
      <c r="C5" s="3"/>
      <c r="D5" s="3" t="s">
        <v>35</v>
      </c>
      <c r="E5" s="3"/>
      <c r="F5" s="3"/>
      <c r="G5" s="3"/>
      <c r="H5" s="3"/>
      <c r="I5" s="3"/>
      <c r="J5" s="3"/>
      <c r="K5" s="3"/>
      <c r="L5" s="3"/>
      <c r="M5" s="3"/>
      <c r="N5" s="3"/>
      <c r="O5" s="3"/>
      <c r="P5" s="3"/>
      <c r="Q5" s="3"/>
      <c r="R5" s="3"/>
      <c r="S5" s="3"/>
      <c r="T5" s="4"/>
    </row>
    <row r="6" spans="2:20" x14ac:dyDescent="0.25">
      <c r="B6" s="2"/>
      <c r="C6" s="3"/>
      <c r="D6" s="3" t="s">
        <v>36</v>
      </c>
      <c r="E6" s="3"/>
      <c r="F6" s="3"/>
      <c r="G6" s="3"/>
      <c r="H6" s="3"/>
      <c r="I6" s="3"/>
      <c r="J6" s="3"/>
      <c r="K6" s="3"/>
      <c r="L6" s="3"/>
      <c r="M6" s="3"/>
      <c r="N6" s="3"/>
      <c r="O6" s="3"/>
      <c r="P6" s="3"/>
      <c r="Q6" s="3"/>
      <c r="R6" s="3"/>
      <c r="S6" s="3"/>
      <c r="T6" s="4"/>
    </row>
    <row r="7" spans="2:20" x14ac:dyDescent="0.25">
      <c r="B7" s="2"/>
      <c r="C7" s="3"/>
      <c r="D7" s="3" t="s">
        <v>37</v>
      </c>
      <c r="E7" s="3"/>
      <c r="F7" s="3"/>
      <c r="G7" s="3"/>
      <c r="H7" s="3"/>
      <c r="I7" s="3"/>
      <c r="J7" s="3"/>
      <c r="K7" s="3"/>
      <c r="L7" s="3"/>
      <c r="M7" s="3"/>
      <c r="N7" s="3"/>
      <c r="O7" s="3"/>
      <c r="P7" s="3"/>
      <c r="Q7" s="3"/>
      <c r="R7" s="3"/>
      <c r="S7" s="3"/>
      <c r="T7" s="4"/>
    </row>
    <row r="8" spans="2:20" x14ac:dyDescent="0.25">
      <c r="B8" s="2"/>
      <c r="C8" s="3"/>
      <c r="D8" s="3" t="s">
        <v>55</v>
      </c>
      <c r="E8" s="3"/>
      <c r="F8" s="3"/>
      <c r="G8" s="3"/>
      <c r="H8" s="3"/>
      <c r="I8" s="3"/>
      <c r="J8" s="3"/>
      <c r="K8" s="3"/>
      <c r="L8" s="3"/>
      <c r="M8" s="3"/>
      <c r="N8" s="3"/>
      <c r="O8" s="3"/>
      <c r="P8" s="3"/>
      <c r="Q8" s="3"/>
      <c r="R8" s="3"/>
      <c r="S8" s="3"/>
      <c r="T8" s="4"/>
    </row>
    <row r="9" spans="2:20" x14ac:dyDescent="0.25">
      <c r="B9" s="2"/>
      <c r="C9" s="3"/>
      <c r="D9" s="3" t="s">
        <v>38</v>
      </c>
      <c r="E9" s="3"/>
      <c r="F9" s="3"/>
      <c r="G9" s="3"/>
      <c r="H9" s="3"/>
      <c r="I9" s="3"/>
      <c r="J9" s="3"/>
      <c r="K9" s="3"/>
      <c r="L9" s="3"/>
      <c r="M9" s="3"/>
      <c r="N9" s="3"/>
      <c r="O9" s="3"/>
      <c r="P9" s="3"/>
      <c r="Q9" s="3"/>
      <c r="R9" s="3"/>
      <c r="S9" s="3"/>
      <c r="T9" s="4"/>
    </row>
    <row r="10" spans="2:20" x14ac:dyDescent="0.25">
      <c r="B10" s="2"/>
      <c r="C10" s="3"/>
      <c r="D10" s="3" t="s">
        <v>39</v>
      </c>
      <c r="E10" s="3"/>
      <c r="F10" s="3"/>
      <c r="G10" s="3"/>
      <c r="H10" s="3"/>
      <c r="I10" s="3"/>
      <c r="J10" s="3"/>
      <c r="K10" s="3"/>
      <c r="L10" s="3"/>
      <c r="M10" s="3"/>
      <c r="N10" s="3"/>
      <c r="O10" s="3"/>
      <c r="P10" s="3"/>
      <c r="Q10" s="3"/>
      <c r="R10" s="3"/>
      <c r="S10" s="3"/>
      <c r="T10" s="4"/>
    </row>
    <row r="11" spans="2:20" x14ac:dyDescent="0.25">
      <c r="B11" s="2"/>
      <c r="C11" s="3"/>
      <c r="D11" s="3" t="s">
        <v>40</v>
      </c>
      <c r="E11" s="3"/>
      <c r="F11" s="3"/>
      <c r="G11" s="3"/>
      <c r="H11" s="3"/>
      <c r="I11" s="3"/>
      <c r="J11" s="3"/>
      <c r="K11" s="3"/>
      <c r="L11" s="3"/>
      <c r="M11" s="3"/>
      <c r="N11" s="3"/>
      <c r="O11" s="3"/>
      <c r="P11" s="3"/>
      <c r="Q11" s="3"/>
      <c r="R11" s="3"/>
      <c r="S11" s="3"/>
      <c r="T11" s="4"/>
    </row>
    <row r="12" spans="2:20" x14ac:dyDescent="0.25">
      <c r="B12" s="2"/>
      <c r="C12" s="3"/>
      <c r="D12" s="3" t="s">
        <v>42</v>
      </c>
      <c r="E12" s="3"/>
      <c r="F12" s="3"/>
      <c r="G12" s="3"/>
      <c r="H12" s="3"/>
      <c r="I12" s="3"/>
      <c r="J12" s="3"/>
      <c r="K12" s="3"/>
      <c r="L12" s="3"/>
      <c r="M12" s="3"/>
      <c r="N12" s="3"/>
      <c r="O12" s="3"/>
      <c r="P12" s="3"/>
      <c r="Q12" s="3"/>
      <c r="R12" s="3"/>
      <c r="S12" s="3"/>
      <c r="T12" s="4"/>
    </row>
    <row r="13" spans="2:20" x14ac:dyDescent="0.25">
      <c r="B13" s="2"/>
      <c r="C13" s="3"/>
      <c r="D13" s="3" t="s">
        <v>43</v>
      </c>
      <c r="E13" s="3"/>
      <c r="F13" s="3"/>
      <c r="G13" s="3"/>
      <c r="H13" s="3"/>
      <c r="I13" s="3"/>
      <c r="J13" s="3"/>
      <c r="K13" s="3"/>
      <c r="L13" s="3"/>
      <c r="M13" s="3"/>
      <c r="N13" s="3"/>
      <c r="O13" s="3"/>
      <c r="P13" s="3"/>
      <c r="Q13" s="3"/>
      <c r="R13" s="3"/>
      <c r="S13" s="3"/>
      <c r="T13" s="4"/>
    </row>
    <row r="14" spans="2:20" x14ac:dyDescent="0.25">
      <c r="B14" s="2"/>
      <c r="C14" s="3"/>
      <c r="D14" s="3"/>
      <c r="E14" s="3"/>
      <c r="F14" s="3"/>
      <c r="G14" s="3"/>
      <c r="H14" s="3"/>
      <c r="I14" s="3"/>
      <c r="J14" s="3"/>
      <c r="K14" s="3"/>
      <c r="L14" s="3"/>
      <c r="M14" s="3"/>
      <c r="N14" s="3"/>
      <c r="O14" s="3"/>
      <c r="P14" s="3"/>
      <c r="Q14" s="3"/>
      <c r="R14" s="3"/>
      <c r="S14" s="3"/>
      <c r="T14" s="4"/>
    </row>
    <row r="15" spans="2:20" x14ac:dyDescent="0.25">
      <c r="B15" s="2"/>
      <c r="C15" s="5" t="s">
        <v>50</v>
      </c>
      <c r="D15" s="3"/>
      <c r="E15" s="3"/>
      <c r="F15" s="3"/>
      <c r="G15" s="3"/>
      <c r="H15" s="3"/>
      <c r="I15" s="3"/>
      <c r="J15" s="3"/>
      <c r="K15" s="3"/>
      <c r="L15" s="3"/>
      <c r="M15" s="3"/>
      <c r="N15" s="3"/>
      <c r="O15" s="3"/>
      <c r="P15" s="3"/>
      <c r="Q15" s="3"/>
      <c r="R15" s="3"/>
      <c r="S15" s="3"/>
      <c r="T15" s="4"/>
    </row>
    <row r="16" spans="2:20" x14ac:dyDescent="0.25">
      <c r="B16" s="2"/>
      <c r="C16" s="3"/>
      <c r="D16" s="3" t="s">
        <v>51</v>
      </c>
      <c r="E16" s="3"/>
      <c r="F16" s="3"/>
      <c r="G16" s="3"/>
      <c r="H16" s="3"/>
      <c r="I16" s="3"/>
      <c r="J16" s="3"/>
      <c r="K16" s="3"/>
      <c r="L16" s="3"/>
      <c r="M16" s="3"/>
      <c r="N16" s="3"/>
      <c r="O16" s="3"/>
      <c r="P16" s="3"/>
      <c r="Q16" s="3"/>
      <c r="R16" s="3"/>
      <c r="S16" s="3"/>
      <c r="T16" s="4"/>
    </row>
    <row r="17" spans="2:20" x14ac:dyDescent="0.25">
      <c r="B17" s="2"/>
      <c r="C17" s="3"/>
      <c r="D17" s="3" t="s">
        <v>52</v>
      </c>
      <c r="E17" s="3"/>
      <c r="F17" s="3"/>
      <c r="G17" s="3"/>
      <c r="H17" s="3"/>
      <c r="I17" s="3"/>
      <c r="J17" s="3"/>
      <c r="K17" s="3"/>
      <c r="L17" s="3"/>
      <c r="M17" s="3"/>
      <c r="N17" s="3"/>
      <c r="O17" s="3"/>
      <c r="P17" s="3"/>
      <c r="Q17" s="3"/>
      <c r="R17" s="3"/>
      <c r="S17" s="3"/>
      <c r="T17" s="4"/>
    </row>
    <row r="18" spans="2:20" x14ac:dyDescent="0.25">
      <c r="B18" s="2"/>
      <c r="C18" s="3"/>
      <c r="D18" s="3" t="s">
        <v>53</v>
      </c>
      <c r="E18" s="3"/>
      <c r="F18" s="3"/>
      <c r="G18" s="3"/>
      <c r="H18" s="3"/>
      <c r="I18" s="3"/>
      <c r="J18" s="3"/>
      <c r="K18" s="3"/>
      <c r="L18" s="3"/>
      <c r="M18" s="3"/>
      <c r="N18" s="3"/>
      <c r="O18" s="3"/>
      <c r="P18" s="3"/>
      <c r="Q18" s="3"/>
      <c r="R18" s="3"/>
      <c r="S18" s="3"/>
      <c r="T18" s="4"/>
    </row>
    <row r="19" spans="2:20" x14ac:dyDescent="0.25">
      <c r="B19" s="2"/>
      <c r="C19" s="3"/>
      <c r="D19" s="3" t="s">
        <v>54</v>
      </c>
      <c r="E19" s="3"/>
      <c r="F19" s="3"/>
      <c r="G19" s="3"/>
      <c r="H19" s="3"/>
      <c r="I19" s="3"/>
      <c r="J19" s="3"/>
      <c r="K19" s="3"/>
      <c r="L19" s="3"/>
      <c r="M19" s="3"/>
      <c r="N19" s="3"/>
      <c r="O19" s="3"/>
      <c r="P19" s="3"/>
      <c r="Q19" s="3"/>
      <c r="R19" s="3"/>
      <c r="S19" s="3"/>
      <c r="T19" s="4"/>
    </row>
    <row r="20" spans="2:20" x14ac:dyDescent="0.25">
      <c r="B20" s="2"/>
      <c r="C20" s="3"/>
      <c r="D20" s="3" t="s">
        <v>57</v>
      </c>
      <c r="E20" s="3"/>
      <c r="F20" s="3"/>
      <c r="G20" s="3"/>
      <c r="H20" s="3"/>
      <c r="I20" s="3"/>
      <c r="J20" s="3"/>
      <c r="K20" s="3"/>
      <c r="L20" s="3"/>
      <c r="M20" s="3"/>
      <c r="N20" s="3"/>
      <c r="O20" s="3"/>
      <c r="P20" s="3"/>
      <c r="Q20" s="3"/>
      <c r="R20" s="3"/>
      <c r="S20" s="3"/>
      <c r="T20" s="4"/>
    </row>
    <row r="21" spans="2:20" x14ac:dyDescent="0.25">
      <c r="B21" s="2"/>
      <c r="C21" s="3"/>
      <c r="D21" s="3" t="s">
        <v>58</v>
      </c>
      <c r="E21" s="3"/>
      <c r="F21" s="3"/>
      <c r="G21" s="3"/>
      <c r="H21" s="3"/>
      <c r="I21" s="3"/>
      <c r="J21" s="3"/>
      <c r="K21" s="3"/>
      <c r="L21" s="3"/>
      <c r="M21" s="3"/>
      <c r="N21" s="3"/>
      <c r="O21" s="3"/>
      <c r="P21" s="3"/>
      <c r="Q21" s="3"/>
      <c r="R21" s="3"/>
      <c r="S21" s="3"/>
      <c r="T21" s="4"/>
    </row>
    <row r="22" spans="2:20" x14ac:dyDescent="0.25">
      <c r="B22" s="2"/>
      <c r="C22" s="3"/>
      <c r="D22" s="3" t="s">
        <v>59</v>
      </c>
      <c r="E22" s="3"/>
      <c r="F22" s="3"/>
      <c r="G22" s="3"/>
      <c r="H22" s="3"/>
      <c r="I22" s="3"/>
      <c r="J22" s="3"/>
      <c r="K22" s="3"/>
      <c r="L22" s="3"/>
      <c r="M22" s="3"/>
      <c r="N22" s="3"/>
      <c r="O22" s="3"/>
      <c r="P22" s="3"/>
      <c r="Q22" s="3"/>
      <c r="R22" s="3"/>
      <c r="S22" s="3"/>
      <c r="T22" s="4"/>
    </row>
    <row r="23" spans="2:20" x14ac:dyDescent="0.25">
      <c r="B23" s="2"/>
      <c r="C23" s="3"/>
      <c r="D23" s="3"/>
      <c r="E23" s="3"/>
      <c r="F23" s="3"/>
      <c r="G23" s="3"/>
      <c r="H23" s="3"/>
      <c r="I23" s="3"/>
      <c r="J23" s="3"/>
      <c r="K23" s="3"/>
      <c r="L23" s="3"/>
      <c r="M23" s="3"/>
      <c r="N23" s="3"/>
      <c r="O23" s="3"/>
      <c r="P23" s="3"/>
      <c r="Q23" s="3"/>
      <c r="R23" s="3"/>
      <c r="S23" s="3"/>
      <c r="T23" s="4"/>
    </row>
    <row r="24" spans="2:20" x14ac:dyDescent="0.25">
      <c r="B24" s="2"/>
      <c r="C24" s="5" t="s">
        <v>27</v>
      </c>
      <c r="D24" s="3"/>
      <c r="E24" s="3"/>
      <c r="F24" s="3"/>
      <c r="G24" s="3"/>
      <c r="H24" s="3"/>
      <c r="I24" s="3"/>
      <c r="J24" s="3"/>
      <c r="K24" s="3"/>
      <c r="L24" s="3"/>
      <c r="M24" s="3"/>
      <c r="N24" s="3"/>
      <c r="O24" s="3"/>
      <c r="P24" s="3"/>
      <c r="Q24" s="3"/>
      <c r="R24" s="3"/>
      <c r="S24" s="3"/>
      <c r="T24" s="4"/>
    </row>
    <row r="25" spans="2:20" x14ac:dyDescent="0.25">
      <c r="B25" s="2"/>
      <c r="C25" s="3"/>
      <c r="D25" s="3" t="s">
        <v>28</v>
      </c>
      <c r="E25" s="3"/>
      <c r="F25" s="3"/>
      <c r="G25" s="3"/>
      <c r="H25" s="3"/>
      <c r="I25" s="3"/>
      <c r="J25" s="3"/>
      <c r="K25" s="3"/>
      <c r="L25" s="3"/>
      <c r="M25" s="3"/>
      <c r="N25" s="3"/>
      <c r="O25" s="3"/>
      <c r="P25" s="3"/>
      <c r="Q25" s="3"/>
      <c r="R25" s="3"/>
      <c r="S25" s="3"/>
      <c r="T25" s="4"/>
    </row>
    <row r="26" spans="2:20" x14ac:dyDescent="0.25">
      <c r="B26" s="2"/>
      <c r="C26" s="3"/>
      <c r="D26" s="3" t="s">
        <v>29</v>
      </c>
      <c r="E26" s="3"/>
      <c r="F26" s="3"/>
      <c r="G26" s="3"/>
      <c r="H26" s="3"/>
      <c r="I26" s="3"/>
      <c r="J26" s="3"/>
      <c r="K26" s="3"/>
      <c r="L26" s="3"/>
      <c r="M26" s="3"/>
      <c r="N26" s="3"/>
      <c r="O26" s="3"/>
      <c r="P26" s="3"/>
      <c r="Q26" s="3"/>
      <c r="R26" s="3"/>
      <c r="S26" s="3"/>
      <c r="T26" s="4"/>
    </row>
    <row r="27" spans="2:20" x14ac:dyDescent="0.25">
      <c r="B27" s="2"/>
      <c r="C27" s="3"/>
      <c r="D27" s="3" t="s">
        <v>30</v>
      </c>
      <c r="E27" s="3"/>
      <c r="F27" s="3"/>
      <c r="G27" s="3"/>
      <c r="H27" s="3"/>
      <c r="I27" s="3"/>
      <c r="J27" s="3"/>
      <c r="K27" s="3"/>
      <c r="L27" s="3"/>
      <c r="M27" s="3"/>
      <c r="N27" s="3"/>
      <c r="O27" s="3"/>
      <c r="P27" s="3"/>
      <c r="Q27" s="3"/>
      <c r="R27" s="3"/>
      <c r="S27" s="3"/>
      <c r="T27" s="4"/>
    </row>
    <row r="28" spans="2:20" x14ac:dyDescent="0.25">
      <c r="B28" s="2"/>
      <c r="C28" s="3"/>
      <c r="D28" s="3" t="s">
        <v>31</v>
      </c>
      <c r="E28" s="3"/>
      <c r="F28" s="3"/>
      <c r="G28" s="3"/>
      <c r="H28" s="3"/>
      <c r="I28" s="3"/>
      <c r="J28" s="3"/>
      <c r="K28" s="3"/>
      <c r="L28" s="3"/>
      <c r="M28" s="3"/>
      <c r="N28" s="3"/>
      <c r="O28" s="3"/>
      <c r="P28" s="3"/>
      <c r="Q28" s="3"/>
      <c r="R28" s="3"/>
      <c r="S28" s="3"/>
      <c r="T28" s="4"/>
    </row>
    <row r="29" spans="2:20" x14ac:dyDescent="0.25">
      <c r="B29" s="2"/>
      <c r="C29" s="3"/>
      <c r="D29" s="3"/>
      <c r="E29" s="3"/>
      <c r="F29" s="3"/>
      <c r="G29" s="3"/>
      <c r="H29" s="3"/>
      <c r="I29" s="3"/>
      <c r="J29" s="3"/>
      <c r="K29" s="3"/>
      <c r="L29" s="3"/>
      <c r="M29" s="3"/>
      <c r="N29" s="3"/>
      <c r="O29" s="3"/>
      <c r="P29" s="3"/>
      <c r="Q29" s="3"/>
      <c r="R29" s="3"/>
      <c r="S29" s="3"/>
      <c r="T29" s="4"/>
    </row>
    <row r="30" spans="2:20" x14ac:dyDescent="0.25">
      <c r="B30" s="2"/>
      <c r="C30" s="5" t="s">
        <v>32</v>
      </c>
      <c r="D30" s="3"/>
      <c r="E30" s="3"/>
      <c r="F30" s="3"/>
      <c r="G30" s="3"/>
      <c r="H30" s="3"/>
      <c r="I30" s="3"/>
      <c r="J30" s="3"/>
      <c r="K30" s="3"/>
      <c r="L30" s="3"/>
      <c r="M30" s="3"/>
      <c r="N30" s="3"/>
      <c r="O30" s="3"/>
      <c r="P30" s="3"/>
      <c r="Q30" s="3"/>
      <c r="R30" s="3"/>
      <c r="S30" s="3"/>
      <c r="T30" s="4"/>
    </row>
    <row r="31" spans="2:20" x14ac:dyDescent="0.25">
      <c r="B31" s="2"/>
      <c r="C31" s="3"/>
      <c r="D31" s="3" t="s">
        <v>33</v>
      </c>
      <c r="E31" s="3"/>
      <c r="F31" s="3"/>
      <c r="G31" s="3"/>
      <c r="H31" s="3"/>
      <c r="I31" s="3"/>
      <c r="J31" s="3"/>
      <c r="K31" s="3"/>
      <c r="L31" s="3"/>
      <c r="M31" s="3"/>
      <c r="N31" s="3"/>
      <c r="O31" s="3"/>
      <c r="P31" s="3"/>
      <c r="Q31" s="3"/>
      <c r="R31" s="3"/>
      <c r="S31" s="3"/>
      <c r="T31" s="4"/>
    </row>
    <row r="32" spans="2:20" x14ac:dyDescent="0.25">
      <c r="B32" s="2"/>
      <c r="C32" s="3"/>
      <c r="D32" s="3" t="s">
        <v>44</v>
      </c>
      <c r="E32" s="3"/>
      <c r="F32" s="3"/>
      <c r="G32" s="3"/>
      <c r="H32" s="3"/>
      <c r="I32" s="3"/>
      <c r="J32" s="3"/>
      <c r="K32" s="3"/>
      <c r="L32" s="3"/>
      <c r="M32" s="3"/>
      <c r="N32" s="3"/>
      <c r="O32" s="3"/>
      <c r="P32" s="3"/>
      <c r="Q32" s="3"/>
      <c r="R32" s="3"/>
      <c r="S32" s="3"/>
      <c r="T32" s="4"/>
    </row>
    <row r="33" spans="2:20" x14ac:dyDescent="0.25">
      <c r="B33" s="2"/>
      <c r="C33" s="3"/>
      <c r="D33" s="3" t="s">
        <v>45</v>
      </c>
      <c r="E33" s="3"/>
      <c r="F33" s="3"/>
      <c r="G33" s="3"/>
      <c r="H33" s="3"/>
      <c r="I33" s="3"/>
      <c r="J33" s="3"/>
      <c r="K33" s="3"/>
      <c r="L33" s="3"/>
      <c r="M33" s="3"/>
      <c r="N33" s="3"/>
      <c r="O33" s="3"/>
      <c r="P33" s="3"/>
      <c r="Q33" s="3"/>
      <c r="R33" s="3"/>
      <c r="S33" s="3"/>
      <c r="T33" s="4"/>
    </row>
    <row r="34" spans="2:20" x14ac:dyDescent="0.25">
      <c r="B34" s="2"/>
      <c r="C34" s="3"/>
      <c r="D34" s="3" t="s">
        <v>46</v>
      </c>
      <c r="E34" s="3"/>
      <c r="F34" s="3"/>
      <c r="G34" s="3"/>
      <c r="H34" s="3"/>
      <c r="I34" s="3"/>
      <c r="J34" s="3"/>
      <c r="K34" s="3"/>
      <c r="L34" s="3"/>
      <c r="M34" s="3"/>
      <c r="N34" s="3"/>
      <c r="O34" s="3"/>
      <c r="P34" s="3"/>
      <c r="Q34" s="3"/>
      <c r="R34" s="3"/>
      <c r="S34" s="3"/>
      <c r="T34" s="4"/>
    </row>
    <row r="35" spans="2:20" x14ac:dyDescent="0.25">
      <c r="B35" s="2"/>
      <c r="C35" s="3"/>
      <c r="D35" s="3"/>
      <c r="E35" s="3"/>
      <c r="F35" s="3"/>
      <c r="G35" s="3"/>
      <c r="H35" s="3"/>
      <c r="I35" s="3"/>
      <c r="J35" s="3"/>
      <c r="K35" s="3"/>
      <c r="L35" s="3"/>
      <c r="M35" s="3"/>
      <c r="N35" s="3"/>
      <c r="O35" s="3"/>
      <c r="P35" s="3"/>
      <c r="Q35" s="3"/>
      <c r="R35" s="3"/>
      <c r="S35" s="3"/>
      <c r="T35" s="4"/>
    </row>
    <row r="36" spans="2:20" x14ac:dyDescent="0.25">
      <c r="B36" s="2"/>
      <c r="C36" s="5" t="s">
        <v>41</v>
      </c>
      <c r="D36" s="3"/>
      <c r="E36" s="3"/>
      <c r="F36" s="3"/>
      <c r="G36" s="3"/>
      <c r="H36" s="3"/>
      <c r="I36" s="3"/>
      <c r="J36" s="3"/>
      <c r="K36" s="3"/>
      <c r="L36" s="3"/>
      <c r="M36" s="3"/>
      <c r="N36" s="3"/>
      <c r="O36" s="3"/>
      <c r="P36" s="3"/>
      <c r="Q36" s="3"/>
      <c r="R36" s="3"/>
      <c r="S36" s="3"/>
      <c r="T36" s="4"/>
    </row>
    <row r="37" spans="2:20" x14ac:dyDescent="0.25">
      <c r="B37" s="2"/>
      <c r="C37" s="3"/>
      <c r="D37" s="3" t="s">
        <v>47</v>
      </c>
      <c r="E37" s="3"/>
      <c r="F37" s="3"/>
      <c r="G37" s="3"/>
      <c r="H37" s="3"/>
      <c r="I37" s="3"/>
      <c r="J37" s="3"/>
      <c r="K37" s="3"/>
      <c r="L37" s="3"/>
      <c r="M37" s="3"/>
      <c r="N37" s="3"/>
      <c r="O37" s="3"/>
      <c r="P37" s="3"/>
      <c r="Q37" s="3"/>
      <c r="R37" s="3"/>
      <c r="S37" s="3"/>
      <c r="T37" s="4"/>
    </row>
    <row r="38" spans="2:20" x14ac:dyDescent="0.25">
      <c r="B38" s="2"/>
      <c r="C38" s="3"/>
      <c r="D38" s="3" t="s">
        <v>48</v>
      </c>
      <c r="E38" s="3"/>
      <c r="F38" s="3"/>
      <c r="G38" s="3"/>
      <c r="H38" s="3"/>
      <c r="I38" s="3"/>
      <c r="J38" s="3"/>
      <c r="K38" s="3"/>
      <c r="L38" s="3"/>
      <c r="M38" s="3"/>
      <c r="N38" s="3"/>
      <c r="O38" s="3"/>
      <c r="P38" s="3"/>
      <c r="Q38" s="3"/>
      <c r="R38" s="3"/>
      <c r="S38" s="3"/>
      <c r="T38" s="4"/>
    </row>
    <row r="39" spans="2:20" x14ac:dyDescent="0.25">
      <c r="B39" s="2"/>
      <c r="C39" s="3"/>
      <c r="D39" s="3" t="s">
        <v>49</v>
      </c>
      <c r="E39" s="3"/>
      <c r="F39" s="3"/>
      <c r="G39" s="3"/>
      <c r="H39" s="3"/>
      <c r="I39" s="3"/>
      <c r="J39" s="3"/>
      <c r="K39" s="3"/>
      <c r="L39" s="3"/>
      <c r="M39" s="3"/>
      <c r="N39" s="3"/>
      <c r="O39" s="3"/>
      <c r="P39" s="3"/>
      <c r="Q39" s="3"/>
      <c r="R39" s="3"/>
      <c r="S39" s="3"/>
      <c r="T39" s="4"/>
    </row>
    <row r="40" spans="2:20" x14ac:dyDescent="0.25">
      <c r="B40" s="2"/>
      <c r="C40" s="3"/>
      <c r="D40" s="3" t="s">
        <v>56</v>
      </c>
      <c r="E40" s="3"/>
      <c r="F40" s="3"/>
      <c r="G40" s="3"/>
      <c r="H40" s="3"/>
      <c r="I40" s="3"/>
      <c r="J40" s="3"/>
      <c r="K40" s="3"/>
      <c r="L40" s="3"/>
      <c r="M40" s="3"/>
      <c r="N40" s="3"/>
      <c r="O40" s="3"/>
      <c r="P40" s="3"/>
      <c r="Q40" s="3"/>
      <c r="R40" s="3"/>
      <c r="S40" s="3"/>
      <c r="T40" s="4"/>
    </row>
    <row r="41" spans="2:20" x14ac:dyDescent="0.25">
      <c r="B41" s="2"/>
      <c r="C41" s="3"/>
      <c r="D41" s="3"/>
      <c r="E41" s="3"/>
      <c r="F41" s="3"/>
      <c r="G41" s="3"/>
      <c r="H41" s="3"/>
      <c r="I41" s="3"/>
      <c r="J41" s="3"/>
      <c r="K41" s="3"/>
      <c r="L41" s="3"/>
      <c r="M41" s="3"/>
      <c r="N41" s="3"/>
      <c r="O41" s="3"/>
      <c r="P41" s="3"/>
      <c r="Q41" s="3"/>
      <c r="R41" s="3"/>
      <c r="S41" s="3"/>
      <c r="T41" s="4"/>
    </row>
    <row r="42" spans="2:20" x14ac:dyDescent="0.25">
      <c r="B42" s="2"/>
      <c r="C42" s="5" t="s">
        <v>60</v>
      </c>
      <c r="D42" s="3"/>
      <c r="E42" s="3"/>
      <c r="F42" s="3"/>
      <c r="G42" s="3"/>
      <c r="H42" s="3"/>
      <c r="I42" s="3"/>
      <c r="J42" s="3"/>
      <c r="K42" s="3"/>
      <c r="L42" s="3"/>
      <c r="M42" s="3"/>
      <c r="N42" s="3"/>
      <c r="O42" s="3"/>
      <c r="P42" s="3"/>
      <c r="Q42" s="3"/>
      <c r="R42" s="3"/>
      <c r="S42" s="3"/>
      <c r="T42" s="4"/>
    </row>
    <row r="43" spans="2:20" x14ac:dyDescent="0.25">
      <c r="B43" s="2"/>
      <c r="C43" s="3"/>
      <c r="D43" s="3" t="s">
        <v>61</v>
      </c>
      <c r="E43" s="3"/>
      <c r="F43" s="3"/>
      <c r="G43" s="3"/>
      <c r="H43" s="3"/>
      <c r="I43" s="3"/>
      <c r="J43" s="3"/>
      <c r="K43" s="3"/>
      <c r="L43" s="3"/>
      <c r="M43" s="3"/>
      <c r="N43" s="3"/>
      <c r="O43" s="3"/>
      <c r="P43" s="3"/>
      <c r="Q43" s="3"/>
      <c r="R43" s="3"/>
      <c r="S43" s="3"/>
      <c r="T43" s="4"/>
    </row>
    <row r="44" spans="2:20" x14ac:dyDescent="0.25">
      <c r="B44" s="2"/>
      <c r="C44" s="3"/>
      <c r="D44" s="3" t="s">
        <v>62</v>
      </c>
      <c r="E44" s="3"/>
      <c r="F44" s="3"/>
      <c r="G44" s="3"/>
      <c r="H44" s="3"/>
      <c r="I44" s="3"/>
      <c r="J44" s="3"/>
      <c r="K44" s="3"/>
      <c r="L44" s="3"/>
      <c r="M44" s="3"/>
      <c r="N44" s="3"/>
      <c r="O44" s="3"/>
      <c r="P44" s="3"/>
      <c r="Q44" s="3"/>
      <c r="R44" s="3"/>
      <c r="S44" s="3"/>
      <c r="T44" s="4"/>
    </row>
    <row r="45" spans="2:20" x14ac:dyDescent="0.25">
      <c r="B45" s="2"/>
      <c r="C45" s="3"/>
      <c r="D45" s="3" t="s">
        <v>63</v>
      </c>
      <c r="E45" s="3"/>
      <c r="F45" s="3"/>
      <c r="G45" s="3"/>
      <c r="H45" s="3"/>
      <c r="I45" s="3"/>
      <c r="J45" s="3"/>
      <c r="K45" s="3"/>
      <c r="L45" s="3"/>
      <c r="M45" s="3"/>
      <c r="N45" s="3"/>
      <c r="O45" s="3"/>
      <c r="P45" s="3"/>
      <c r="Q45" s="3"/>
      <c r="R45" s="3"/>
      <c r="S45" s="3"/>
      <c r="T45" s="4"/>
    </row>
    <row r="46" spans="2:20" x14ac:dyDescent="0.25">
      <c r="B46" s="2"/>
      <c r="C46" s="3"/>
      <c r="D46" s="3" t="s">
        <v>68</v>
      </c>
      <c r="E46" s="3"/>
      <c r="F46" s="3"/>
      <c r="G46" s="3"/>
      <c r="H46" s="3"/>
      <c r="I46" s="3"/>
      <c r="J46" s="3"/>
      <c r="K46" s="3"/>
      <c r="L46" s="3"/>
      <c r="M46" s="3"/>
      <c r="N46" s="3"/>
      <c r="O46" s="3"/>
      <c r="P46" s="3"/>
      <c r="Q46" s="3"/>
      <c r="R46" s="3"/>
      <c r="S46" s="3"/>
      <c r="T46" s="4"/>
    </row>
    <row r="47" spans="2:20" x14ac:dyDescent="0.25">
      <c r="B47" s="2"/>
      <c r="C47" s="3"/>
      <c r="D47" s="3" t="s">
        <v>69</v>
      </c>
      <c r="E47" s="3"/>
      <c r="F47" s="3"/>
      <c r="G47" s="3"/>
      <c r="H47" s="3"/>
      <c r="I47" s="3"/>
      <c r="J47" s="3"/>
      <c r="K47" s="3"/>
      <c r="L47" s="3"/>
      <c r="M47" s="3"/>
      <c r="N47" s="3"/>
      <c r="O47" s="3"/>
      <c r="P47" s="3"/>
      <c r="Q47" s="3"/>
      <c r="R47" s="3"/>
      <c r="S47" s="3"/>
      <c r="T47" s="4"/>
    </row>
    <row r="48" spans="2:20" x14ac:dyDescent="0.25">
      <c r="B48" s="2"/>
      <c r="C48" s="3"/>
      <c r="D48" s="3" t="s">
        <v>64</v>
      </c>
      <c r="E48" s="3"/>
      <c r="F48" s="3"/>
      <c r="G48" s="3"/>
      <c r="H48" s="3"/>
      <c r="I48" s="3"/>
      <c r="J48" s="3"/>
      <c r="K48" s="3"/>
      <c r="L48" s="3"/>
      <c r="M48" s="3"/>
      <c r="N48" s="3"/>
      <c r="O48" s="3"/>
      <c r="P48" s="3"/>
      <c r="Q48" s="3"/>
      <c r="R48" s="3"/>
      <c r="S48" s="3"/>
      <c r="T48" s="4"/>
    </row>
    <row r="49" spans="2:20" x14ac:dyDescent="0.25">
      <c r="B49" s="2"/>
      <c r="C49" s="3"/>
      <c r="D49" s="3" t="s">
        <v>67</v>
      </c>
      <c r="E49" s="3"/>
      <c r="F49" s="3"/>
      <c r="G49" s="3"/>
      <c r="H49" s="3"/>
      <c r="I49" s="3"/>
      <c r="J49" s="3"/>
      <c r="K49" s="3"/>
      <c r="L49" s="3"/>
      <c r="M49" s="3"/>
      <c r="N49" s="3"/>
      <c r="O49" s="3"/>
      <c r="P49" s="3"/>
      <c r="Q49" s="3"/>
      <c r="R49" s="3"/>
      <c r="S49" s="3"/>
      <c r="T49" s="4"/>
    </row>
    <row r="50" spans="2:20" x14ac:dyDescent="0.25">
      <c r="B50" s="2"/>
      <c r="C50" s="3"/>
      <c r="D50" s="3" t="s">
        <v>70</v>
      </c>
      <c r="E50" s="3"/>
      <c r="F50" s="3"/>
      <c r="G50" s="3"/>
      <c r="H50" s="3"/>
      <c r="I50" s="3"/>
      <c r="J50" s="3"/>
      <c r="K50" s="3"/>
      <c r="L50" s="3"/>
      <c r="M50" s="3"/>
      <c r="N50" s="3"/>
      <c r="O50" s="3"/>
      <c r="P50" s="3"/>
      <c r="Q50" s="3"/>
      <c r="R50" s="3"/>
      <c r="S50" s="3"/>
      <c r="T50" s="4"/>
    </row>
    <row r="51" spans="2:20" x14ac:dyDescent="0.25">
      <c r="B51" s="2"/>
      <c r="C51" s="3"/>
      <c r="D51" s="3" t="s">
        <v>71</v>
      </c>
      <c r="E51" s="3"/>
      <c r="F51" s="3"/>
      <c r="G51" s="3"/>
      <c r="H51" s="3"/>
      <c r="I51" s="3"/>
      <c r="J51" s="3"/>
      <c r="K51" s="3"/>
      <c r="L51" s="3"/>
      <c r="M51" s="3"/>
      <c r="N51" s="3"/>
      <c r="O51" s="3"/>
      <c r="P51" s="3"/>
      <c r="Q51" s="3"/>
      <c r="R51" s="3"/>
      <c r="S51" s="3"/>
      <c r="T51" s="4"/>
    </row>
    <row r="52" spans="2:20" ht="15.75" thickBot="1" x14ac:dyDescent="0.3">
      <c r="B52" s="6"/>
      <c r="C52" s="7"/>
      <c r="D52" s="7"/>
      <c r="E52" s="7"/>
      <c r="F52" s="7"/>
      <c r="G52" s="7"/>
      <c r="H52" s="7"/>
      <c r="I52" s="7"/>
      <c r="J52" s="7"/>
      <c r="K52" s="7"/>
      <c r="L52" s="7"/>
      <c r="M52" s="7"/>
      <c r="N52" s="7"/>
      <c r="O52" s="7"/>
      <c r="P52" s="7"/>
      <c r="Q52" s="7"/>
      <c r="R52" s="7"/>
      <c r="S52" s="7"/>
      <c r="T52" s="8"/>
    </row>
    <row r="53" spans="2:20" ht="15.75" thickTop="1" x14ac:dyDescent="0.25"/>
  </sheetData>
  <sheetProtection algorithmName="SHA-512" hashValue="uiHbwOb1mybg5WuN5niPTtZMYVqYanwqltgN7buCi6JR2mTgslJL+nVR0owdHltpCNL2tjem4GqQ0uJC1VWgdA==" saltValue="xUbBA3r8e7JfHYdQXnBZ4g==" spinCount="100000" sheet="1" objects="1" scenarios="1"/>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
  <sheetViews>
    <sheetView tabSelected="1" view="pageBreakPreview" zoomScaleNormal="100" zoomScaleSheetLayoutView="100" workbookViewId="0">
      <selection activeCell="Q11" sqref="Q11"/>
    </sheetView>
  </sheetViews>
  <sheetFormatPr defaultRowHeight="15" x14ac:dyDescent="0.25"/>
  <cols>
    <col min="1" max="14" width="9.140625" style="1"/>
    <col min="15" max="15" width="16.5703125" style="1" customWidth="1"/>
    <col min="16" max="16384" width="9.140625" style="1"/>
  </cols>
  <sheetData>
    <row r="39" ht="18.75" customHeight="1" x14ac:dyDescent="0.25"/>
  </sheetData>
  <printOptions horizontalCentered="1" verticalCentered="1"/>
  <pageMargins left="0"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910"/>
  <sheetViews>
    <sheetView showGridLines="0" zoomScale="80" zoomScaleNormal="80" workbookViewId="0">
      <selection activeCell="B2" sqref="B2:N2"/>
    </sheetView>
  </sheetViews>
  <sheetFormatPr defaultColWidth="8.85546875" defaultRowHeight="15" x14ac:dyDescent="0.25"/>
  <cols>
    <col min="1" max="1" width="9.140625" style="11" customWidth="1"/>
    <col min="2" max="2" width="17.5703125" style="11" customWidth="1"/>
    <col min="3" max="3" width="12.42578125" style="14" customWidth="1"/>
    <col min="4" max="4" width="38.85546875" style="14" customWidth="1"/>
    <col min="5" max="5" width="17.140625" style="14" customWidth="1"/>
    <col min="6" max="12" width="8.85546875" style="11" customWidth="1"/>
    <col min="13" max="13" width="11.5703125" style="11" customWidth="1"/>
    <col min="14" max="14" width="48.5703125" style="11" customWidth="1"/>
    <col min="15" max="15" width="29.85546875" style="11" customWidth="1"/>
    <col min="16" max="16" width="20.7109375" style="11" customWidth="1"/>
    <col min="17" max="17" width="35.85546875" style="11" customWidth="1"/>
    <col min="18" max="18" width="15.7109375" style="11" customWidth="1"/>
    <col min="19" max="19" width="16.42578125" style="11" customWidth="1"/>
    <col min="20" max="20" width="30.28515625" style="11" customWidth="1"/>
    <col min="21" max="21" width="26.28515625" style="11" customWidth="1"/>
    <col min="22" max="22" width="41" style="11" customWidth="1"/>
    <col min="23" max="23" width="34.28515625" style="11" customWidth="1"/>
    <col min="24" max="24" width="19.5703125" style="11" customWidth="1"/>
    <col min="25" max="25" width="8.7109375" style="11" customWidth="1"/>
    <col min="26" max="26" width="52.28515625" style="11" hidden="1" customWidth="1"/>
    <col min="27" max="27" width="23.140625" style="11" hidden="1" customWidth="1"/>
    <col min="28" max="28" width="23.42578125" style="11" hidden="1" customWidth="1"/>
    <col min="29" max="29" width="26" style="11" hidden="1" customWidth="1"/>
    <col min="30" max="30" width="31.5703125" style="11" customWidth="1"/>
    <col min="31" max="31" width="22.7109375" style="11" customWidth="1"/>
    <col min="32" max="32" width="21" style="11" customWidth="1"/>
    <col min="33" max="33" width="18.85546875" style="11" customWidth="1"/>
    <col min="34" max="34" width="18.42578125" style="11" customWidth="1"/>
    <col min="35" max="35" width="13.5703125" style="11" customWidth="1"/>
    <col min="36" max="36" width="10.7109375" style="11" customWidth="1"/>
    <col min="37" max="37" width="43.7109375" style="11" customWidth="1"/>
    <col min="38" max="38" width="44.28515625" style="11" customWidth="1"/>
    <col min="39" max="39" width="22.7109375" style="11" customWidth="1"/>
    <col min="40" max="40" width="23.5703125" style="11" customWidth="1"/>
    <col min="41" max="41" width="39.85546875" style="11" customWidth="1"/>
    <col min="42" max="42" width="10.7109375" style="11" customWidth="1"/>
    <col min="43" max="43" width="23.140625" style="11" customWidth="1"/>
    <col min="44" max="44" width="20.5703125" style="11" customWidth="1"/>
    <col min="45" max="45" width="18" style="11" customWidth="1"/>
    <col min="46" max="46" width="20.5703125" style="11" customWidth="1"/>
    <col min="47" max="47" width="11.5703125" style="11" customWidth="1"/>
    <col min="48" max="157" width="47.28515625" style="11" bestFit="1" customWidth="1"/>
    <col min="158" max="158" width="11.28515625" style="11" customWidth="1"/>
    <col min="159" max="159" width="45.28515625" style="11" bestFit="1" customWidth="1"/>
    <col min="160" max="160" width="10.7109375" style="11" bestFit="1" customWidth="1"/>
    <col min="161" max="16384" width="8.85546875" style="11"/>
  </cols>
  <sheetData>
    <row r="1" spans="2:14" ht="34.9" customHeight="1" thickBot="1" x14ac:dyDescent="0.3"/>
    <row r="2" spans="2:14" ht="70.150000000000006" customHeight="1" thickBot="1" x14ac:dyDescent="0.3">
      <c r="B2" s="880" t="s">
        <v>449</v>
      </c>
      <c r="C2" s="881"/>
      <c r="D2" s="881"/>
      <c r="E2" s="881"/>
      <c r="F2" s="881"/>
      <c r="G2" s="881"/>
      <c r="H2" s="881"/>
      <c r="I2" s="881"/>
      <c r="J2" s="881"/>
      <c r="K2" s="881"/>
      <c r="L2" s="881"/>
      <c r="M2" s="881"/>
      <c r="N2" s="882"/>
    </row>
    <row r="4" spans="2:14" ht="23.45" customHeight="1" x14ac:dyDescent="0.25">
      <c r="B4" s="34"/>
      <c r="C4" s="35"/>
      <c r="D4" s="15"/>
      <c r="E4" s="15"/>
      <c r="F4" s="12"/>
      <c r="G4" s="12"/>
      <c r="H4" s="12"/>
      <c r="I4" s="12"/>
      <c r="J4" s="12"/>
    </row>
    <row r="5" spans="2:14" ht="36.75" customHeight="1" x14ac:dyDescent="0.25">
      <c r="B5" s="883" t="s">
        <v>92</v>
      </c>
      <c r="C5" s="884"/>
      <c r="D5" s="884"/>
      <c r="E5" s="884"/>
      <c r="F5" s="884"/>
      <c r="G5" s="884"/>
      <c r="H5" s="884"/>
      <c r="I5" s="884"/>
      <c r="J5" s="884"/>
      <c r="K5" s="884"/>
      <c r="L5" s="884"/>
      <c r="M5" s="884"/>
      <c r="N5" s="885"/>
    </row>
    <row r="9" spans="2:14" x14ac:dyDescent="0.25">
      <c r="B9" s="270" t="s">
        <v>3</v>
      </c>
      <c r="C9" s="271" t="s">
        <v>442</v>
      </c>
    </row>
    <row r="10" spans="2:14" x14ac:dyDescent="0.25">
      <c r="B10" s="270" t="s">
        <v>255</v>
      </c>
      <c r="C10" s="271" t="s">
        <v>74</v>
      </c>
    </row>
    <row r="11" spans="2:14" x14ac:dyDescent="0.25">
      <c r="B11" s="270" t="s">
        <v>285</v>
      </c>
      <c r="C11" s="271" t="s">
        <v>74</v>
      </c>
    </row>
    <row r="13" spans="2:14" ht="30" x14ac:dyDescent="0.25">
      <c r="B13" s="273" t="s">
        <v>236</v>
      </c>
      <c r="C13" s="274" t="s">
        <v>659</v>
      </c>
      <c r="D13" s="274" t="s">
        <v>660</v>
      </c>
      <c r="E13" s="274" t="s">
        <v>661</v>
      </c>
    </row>
    <row r="14" spans="2:14" x14ac:dyDescent="0.25">
      <c r="B14" s="272" t="s">
        <v>213</v>
      </c>
      <c r="C14" s="275">
        <v>0.95970609522011385</v>
      </c>
      <c r="D14" s="275">
        <v>0.83824223543849707</v>
      </c>
      <c r="E14" s="275">
        <v>0.56195128858680266</v>
      </c>
    </row>
    <row r="15" spans="2:14" x14ac:dyDescent="0.25">
      <c r="B15" s="272" t="s">
        <v>221</v>
      </c>
      <c r="C15" s="275">
        <v>0.97027248613455508</v>
      </c>
      <c r="D15" s="275">
        <v>0.9787396511534443</v>
      </c>
      <c r="E15" s="275">
        <v>0.54465075154730325</v>
      </c>
    </row>
    <row r="16" spans="2:14" x14ac:dyDescent="0.25">
      <c r="B16" s="272" t="s">
        <v>73</v>
      </c>
      <c r="C16" s="275">
        <v>0.96361534877727217</v>
      </c>
      <c r="D16" s="275">
        <v>0.89022214292086721</v>
      </c>
      <c r="E16" s="275">
        <v>0.55555059922086414</v>
      </c>
    </row>
    <row r="17" spans="2:5" x14ac:dyDescent="0.25">
      <c r="B17"/>
      <c r="C17"/>
      <c r="D17"/>
    </row>
    <row r="18" spans="2:5" x14ac:dyDescent="0.25">
      <c r="B18"/>
      <c r="C18"/>
      <c r="D18"/>
    </row>
    <row r="19" spans="2:5" x14ac:dyDescent="0.25">
      <c r="B19"/>
      <c r="C19"/>
      <c r="D19"/>
    </row>
    <row r="20" spans="2:5" x14ac:dyDescent="0.25">
      <c r="B20"/>
      <c r="C20"/>
      <c r="D20"/>
    </row>
    <row r="21" spans="2:5" x14ac:dyDescent="0.25">
      <c r="B21"/>
      <c r="C21"/>
      <c r="D21"/>
    </row>
    <row r="22" spans="2:5" x14ac:dyDescent="0.25">
      <c r="B22"/>
      <c r="C22"/>
      <c r="D22"/>
    </row>
    <row r="25" spans="2:5" x14ac:dyDescent="0.25">
      <c r="B25" s="12"/>
      <c r="C25" s="29"/>
      <c r="D25" s="29"/>
      <c r="E25" s="29"/>
    </row>
    <row r="28" spans="2:5" x14ac:dyDescent="0.25">
      <c r="B28" s="28" t="s">
        <v>3</v>
      </c>
      <c r="C28" t="s">
        <v>442</v>
      </c>
    </row>
    <row r="29" spans="2:5" x14ac:dyDescent="0.25">
      <c r="B29" s="28" t="s">
        <v>255</v>
      </c>
      <c r="C29" t="s">
        <v>74</v>
      </c>
    </row>
    <row r="30" spans="2:5" x14ac:dyDescent="0.25">
      <c r="B30" s="28" t="s">
        <v>285</v>
      </c>
      <c r="C30" t="s">
        <v>74</v>
      </c>
    </row>
    <row r="32" spans="2:5" ht="45" x14ac:dyDescent="0.25">
      <c r="B32" s="269" t="s">
        <v>236</v>
      </c>
      <c r="C32" s="276" t="s">
        <v>640</v>
      </c>
      <c r="D32" s="276" t="s">
        <v>643</v>
      </c>
      <c r="E32" s="276" t="s">
        <v>642</v>
      </c>
    </row>
    <row r="33" spans="2:5" x14ac:dyDescent="0.25">
      <c r="B33" s="321" t="s">
        <v>175</v>
      </c>
      <c r="C33" s="265">
        <v>1</v>
      </c>
      <c r="D33" s="265">
        <v>0.82008009153318073</v>
      </c>
      <c r="E33" s="265">
        <v>0.49284897025171626</v>
      </c>
    </row>
    <row r="34" spans="2:5" x14ac:dyDescent="0.25">
      <c r="B34" s="321" t="s">
        <v>104</v>
      </c>
      <c r="C34" s="265">
        <v>0.70518931845356714</v>
      </c>
      <c r="D34" s="265">
        <v>0.90872857712235955</v>
      </c>
      <c r="E34" s="265">
        <v>0.69709047429254678</v>
      </c>
    </row>
    <row r="35" spans="2:5" x14ac:dyDescent="0.25">
      <c r="B35" s="321" t="s">
        <v>107</v>
      </c>
      <c r="C35" s="265">
        <v>0.9330923918079882</v>
      </c>
      <c r="D35" s="265">
        <v>0.75868779538504305</v>
      </c>
      <c r="E35" s="265">
        <v>0.69168751737559075</v>
      </c>
    </row>
    <row r="36" spans="2:5" x14ac:dyDescent="0.25">
      <c r="B36" s="321" t="s">
        <v>124</v>
      </c>
      <c r="C36" s="265">
        <v>0</v>
      </c>
      <c r="D36" s="265">
        <v>0</v>
      </c>
      <c r="E36" s="265">
        <v>0</v>
      </c>
    </row>
    <row r="37" spans="2:5" x14ac:dyDescent="0.25">
      <c r="B37" s="321" t="s">
        <v>200</v>
      </c>
      <c r="C37" s="265">
        <v>0.9435499900616181</v>
      </c>
      <c r="D37" s="265">
        <v>0.96869409660107331</v>
      </c>
      <c r="E37" s="265">
        <v>0.40667859272510437</v>
      </c>
    </row>
    <row r="38" spans="2:5" x14ac:dyDescent="0.25">
      <c r="B38" s="321" t="s">
        <v>181</v>
      </c>
      <c r="C38" s="265">
        <v>1</v>
      </c>
      <c r="D38" s="265">
        <v>0.88077207240487621</v>
      </c>
      <c r="E38" s="265">
        <v>0.37005910602142594</v>
      </c>
    </row>
    <row r="39" spans="2:5" x14ac:dyDescent="0.25">
      <c r="B39" s="321" t="s">
        <v>182</v>
      </c>
      <c r="C39" s="265">
        <v>1</v>
      </c>
      <c r="D39" s="265">
        <v>1</v>
      </c>
      <c r="E39" s="265">
        <v>1</v>
      </c>
    </row>
    <row r="40" spans="2:5" x14ac:dyDescent="0.25">
      <c r="B40" s="321" t="s">
        <v>220</v>
      </c>
      <c r="C40" s="265">
        <v>1</v>
      </c>
      <c r="D40" s="265">
        <v>0.95951417004048578</v>
      </c>
      <c r="E40" s="265">
        <v>0.90688259109311742</v>
      </c>
    </row>
    <row r="41" spans="2:5" x14ac:dyDescent="0.25">
      <c r="B41" s="321" t="s">
        <v>129</v>
      </c>
      <c r="C41" s="265">
        <v>1</v>
      </c>
      <c r="D41" s="265">
        <v>1</v>
      </c>
      <c r="E41" s="265">
        <v>1</v>
      </c>
    </row>
    <row r="42" spans="2:5" x14ac:dyDescent="0.25">
      <c r="B42" s="321" t="s">
        <v>183</v>
      </c>
      <c r="C42" s="265">
        <v>1</v>
      </c>
      <c r="D42" s="265">
        <v>0.97208910421823158</v>
      </c>
      <c r="E42" s="265">
        <v>0.62609932065932905</v>
      </c>
    </row>
    <row r="43" spans="2:5" x14ac:dyDescent="0.25">
      <c r="B43" s="321" t="s">
        <v>209</v>
      </c>
      <c r="C43" s="265">
        <v>0.83560399636693916</v>
      </c>
      <c r="D43" s="265">
        <v>1</v>
      </c>
      <c r="E43" s="265">
        <v>1</v>
      </c>
    </row>
    <row r="44" spans="2:5" x14ac:dyDescent="0.25">
      <c r="B44" s="321" t="s">
        <v>131</v>
      </c>
      <c r="C44" s="265">
        <v>1</v>
      </c>
      <c r="D44" s="265">
        <v>0.88148760330578513</v>
      </c>
      <c r="E44" s="265">
        <v>0.63471074380165293</v>
      </c>
    </row>
    <row r="45" spans="2:5" x14ac:dyDescent="0.25">
      <c r="B45" s="321" t="s">
        <v>460</v>
      </c>
      <c r="C45" s="265">
        <v>1</v>
      </c>
      <c r="D45" s="265">
        <v>0.75657526580861778</v>
      </c>
      <c r="E45" s="265">
        <v>0.78343592613318414</v>
      </c>
    </row>
    <row r="46" spans="2:5" x14ac:dyDescent="0.25">
      <c r="B46" s="321" t="s">
        <v>227</v>
      </c>
      <c r="C46" s="265">
        <v>1</v>
      </c>
      <c r="D46" s="265">
        <v>1</v>
      </c>
      <c r="E46" s="265">
        <v>1</v>
      </c>
    </row>
    <row r="47" spans="2:5" x14ac:dyDescent="0.25">
      <c r="B47" s="321" t="s">
        <v>219</v>
      </c>
      <c r="C47" s="265">
        <v>1</v>
      </c>
      <c r="D47" s="265">
        <v>1</v>
      </c>
      <c r="E47" s="265">
        <v>0.64516129032258063</v>
      </c>
    </row>
    <row r="48" spans="2:5" x14ac:dyDescent="0.25">
      <c r="B48" s="321" t="s">
        <v>218</v>
      </c>
      <c r="C48" s="265">
        <v>1</v>
      </c>
      <c r="D48" s="265">
        <v>0.97635135135135132</v>
      </c>
      <c r="E48" s="265">
        <v>0.88513513513513509</v>
      </c>
    </row>
    <row r="49" spans="2:5" x14ac:dyDescent="0.25">
      <c r="B49" s="321" t="s">
        <v>910</v>
      </c>
      <c r="C49" s="265">
        <v>0</v>
      </c>
      <c r="D49" s="265">
        <v>0.31666666666666665</v>
      </c>
      <c r="E49" s="265">
        <v>0</v>
      </c>
    </row>
    <row r="50" spans="2:5" x14ac:dyDescent="0.25">
      <c r="B50" s="321" t="s">
        <v>154</v>
      </c>
      <c r="C50" s="265">
        <v>1</v>
      </c>
      <c r="D50" s="265">
        <v>0.8880136257185437</v>
      </c>
      <c r="E50" s="265">
        <v>0.5714285714285714</v>
      </c>
    </row>
    <row r="51" spans="2:5" x14ac:dyDescent="0.25">
      <c r="B51" s="321" t="s">
        <v>712</v>
      </c>
      <c r="C51" s="265">
        <v>1</v>
      </c>
      <c r="D51" s="265">
        <v>0.92938931297709926</v>
      </c>
      <c r="E51" s="265">
        <v>0</v>
      </c>
    </row>
    <row r="52" spans="2:5" x14ac:dyDescent="0.25">
      <c r="B52" s="25" t="s">
        <v>73</v>
      </c>
      <c r="C52" s="265">
        <v>0.96361534877727217</v>
      </c>
      <c r="D52" s="265">
        <v>0.89022214292086721</v>
      </c>
      <c r="E52" s="265">
        <v>0.55555059922086414</v>
      </c>
    </row>
    <row r="53" spans="2:5" x14ac:dyDescent="0.25">
      <c r="B53"/>
      <c r="C53"/>
      <c r="D53"/>
      <c r="E53"/>
    </row>
    <row r="54" spans="2:5" x14ac:dyDescent="0.25">
      <c r="B54"/>
      <c r="C54"/>
      <c r="D54"/>
      <c r="E54"/>
    </row>
    <row r="55" spans="2:5" x14ac:dyDescent="0.25">
      <c r="B55"/>
      <c r="C55"/>
      <c r="D55"/>
      <c r="E55"/>
    </row>
    <row r="56" spans="2:5" x14ac:dyDescent="0.25">
      <c r="B56" s="12"/>
      <c r="C56" s="15"/>
      <c r="D56" s="15"/>
      <c r="E56" s="15"/>
    </row>
    <row r="57" spans="2:5" x14ac:dyDescent="0.25">
      <c r="B57" s="12"/>
      <c r="C57" s="15"/>
      <c r="D57" s="15"/>
      <c r="E57" s="15"/>
    </row>
    <row r="58" spans="2:5" x14ac:dyDescent="0.25">
      <c r="B58" s="12"/>
      <c r="C58" s="15"/>
      <c r="D58" s="15"/>
      <c r="E58" s="15"/>
    </row>
    <row r="59" spans="2:5" x14ac:dyDescent="0.25">
      <c r="B59" s="28" t="s">
        <v>3</v>
      </c>
      <c r="C59" t="s">
        <v>442</v>
      </c>
      <c r="D59" s="15"/>
      <c r="E59" s="15"/>
    </row>
    <row r="60" spans="2:5" x14ac:dyDescent="0.25">
      <c r="B60" s="28" t="s">
        <v>4</v>
      </c>
      <c r="C60" t="s">
        <v>74</v>
      </c>
    </row>
    <row r="61" spans="2:5" x14ac:dyDescent="0.25">
      <c r="B61" s="28" t="s">
        <v>285</v>
      </c>
      <c r="C61" t="s">
        <v>74</v>
      </c>
    </row>
    <row r="63" spans="2:5" ht="45" x14ac:dyDescent="0.25">
      <c r="B63" s="269" t="s">
        <v>236</v>
      </c>
      <c r="C63" s="276" t="s">
        <v>640</v>
      </c>
      <c r="D63" s="276" t="s">
        <v>641</v>
      </c>
      <c r="E63" s="276" t="s">
        <v>642</v>
      </c>
    </row>
    <row r="64" spans="2:5" x14ac:dyDescent="0.25">
      <c r="B64" s="25" t="s">
        <v>256</v>
      </c>
      <c r="C64" s="265">
        <v>0.9330923918079882</v>
      </c>
      <c r="D64" s="265">
        <v>0.75868779538504305</v>
      </c>
      <c r="E64" s="265">
        <v>0.69168751737559075</v>
      </c>
    </row>
    <row r="65" spans="2:27" x14ac:dyDescent="0.25">
      <c r="B65" s="25" t="s">
        <v>313</v>
      </c>
      <c r="C65" s="265">
        <v>0.51519326065411286</v>
      </c>
      <c r="D65" s="265">
        <v>0.73587710604558965</v>
      </c>
      <c r="E65" s="265">
        <v>0.48290386521308226</v>
      </c>
    </row>
    <row r="66" spans="2:27" x14ac:dyDescent="0.25">
      <c r="B66" s="25" t="s">
        <v>257</v>
      </c>
      <c r="C66" s="265">
        <v>1</v>
      </c>
      <c r="D66" s="265">
        <v>0.83871261852662293</v>
      </c>
      <c r="E66" s="265">
        <v>0.56601021152443476</v>
      </c>
    </row>
    <row r="67" spans="2:27" x14ac:dyDescent="0.25">
      <c r="B67" s="25" t="s">
        <v>258</v>
      </c>
      <c r="C67" s="265">
        <v>1</v>
      </c>
      <c r="D67" s="265">
        <v>0.97389033942558745</v>
      </c>
      <c r="E67" s="265">
        <v>0.93994778067885121</v>
      </c>
    </row>
    <row r="68" spans="2:27" x14ac:dyDescent="0.25">
      <c r="B68" s="25" t="s">
        <v>259</v>
      </c>
      <c r="C68" s="265">
        <v>1</v>
      </c>
      <c r="D68" s="265">
        <v>0.85903781429419912</v>
      </c>
      <c r="E68" s="265">
        <v>0.63126113640863191</v>
      </c>
    </row>
    <row r="69" spans="2:27" x14ac:dyDescent="0.25">
      <c r="B69" s="25" t="s">
        <v>260</v>
      </c>
      <c r="C69" s="265">
        <v>1</v>
      </c>
      <c r="D69" s="265">
        <v>1</v>
      </c>
      <c r="E69" s="265">
        <v>0.65668505384817444</v>
      </c>
    </row>
    <row r="70" spans="2:27" x14ac:dyDescent="0.25">
      <c r="B70" s="25" t="s">
        <v>265</v>
      </c>
      <c r="C70" s="265">
        <v>1</v>
      </c>
      <c r="D70" s="265">
        <v>0.92998987617786777</v>
      </c>
      <c r="E70" s="265">
        <v>0.41188380967214394</v>
      </c>
    </row>
    <row r="71" spans="2:27" x14ac:dyDescent="0.25">
      <c r="B71" s="25" t="s">
        <v>266</v>
      </c>
      <c r="C71" s="265">
        <v>0.98970420932878278</v>
      </c>
      <c r="D71" s="265">
        <v>0.79436860068259385</v>
      </c>
      <c r="E71" s="265">
        <v>0.50631399317406145</v>
      </c>
    </row>
    <row r="72" spans="2:27" x14ac:dyDescent="0.25">
      <c r="B72" s="25" t="s">
        <v>267</v>
      </c>
      <c r="C72" s="265">
        <v>0.95117758294653598</v>
      </c>
      <c r="D72" s="265">
        <v>0.96338318720990201</v>
      </c>
      <c r="E72" s="265">
        <v>0.35172769468798348</v>
      </c>
    </row>
    <row r="73" spans="2:27" x14ac:dyDescent="0.25">
      <c r="B73" s="25" t="s">
        <v>268</v>
      </c>
      <c r="C73" s="265">
        <v>1</v>
      </c>
      <c r="D73" s="265">
        <v>1</v>
      </c>
      <c r="E73" s="265">
        <v>1</v>
      </c>
    </row>
    <row r="74" spans="2:27" x14ac:dyDescent="0.25">
      <c r="B74" s="25" t="s">
        <v>73</v>
      </c>
      <c r="C74" s="265">
        <v>0.96361534877727228</v>
      </c>
      <c r="D74" s="265">
        <v>0.89022214292086721</v>
      </c>
      <c r="E74" s="265">
        <v>0.55555059922086414</v>
      </c>
    </row>
    <row r="75" spans="2:27" x14ac:dyDescent="0.25">
      <c r="B75" s="12"/>
      <c r="C75" s="15"/>
      <c r="D75" s="15"/>
      <c r="E75" s="15"/>
    </row>
    <row r="76" spans="2:27" x14ac:dyDescent="0.25">
      <c r="B76"/>
      <c r="C76"/>
      <c r="D76" s="15"/>
      <c r="E76" s="15"/>
    </row>
    <row r="77" spans="2:27" x14ac:dyDescent="0.25">
      <c r="B77"/>
      <c r="C77"/>
      <c r="D77" s="15"/>
      <c r="E77" s="15"/>
    </row>
    <row r="78" spans="2:27" x14ac:dyDescent="0.25">
      <c r="B78" s="280"/>
      <c r="C78" s="280"/>
      <c r="D78" s="15"/>
      <c r="E78" s="15"/>
      <c r="Z78" s="28" t="s">
        <v>0</v>
      </c>
      <c r="AA78" t="s">
        <v>74</v>
      </c>
    </row>
    <row r="79" spans="2:27" x14ac:dyDescent="0.25">
      <c r="B79" s="280"/>
      <c r="C79" s="280"/>
      <c r="D79" s="280"/>
      <c r="E79" s="15"/>
      <c r="Z79" s="28" t="s">
        <v>255</v>
      </c>
      <c r="AA79" t="s">
        <v>74</v>
      </c>
    </row>
    <row r="80" spans="2:27" x14ac:dyDescent="0.25">
      <c r="E80" s="15"/>
      <c r="Z80" s="28" t="s">
        <v>4</v>
      </c>
      <c r="AA80" t="s">
        <v>74</v>
      </c>
    </row>
    <row r="81" spans="5:29" x14ac:dyDescent="0.25">
      <c r="E81" s="15"/>
      <c r="Z81" s="28" t="s">
        <v>3</v>
      </c>
      <c r="AA81" t="s">
        <v>442</v>
      </c>
    </row>
    <row r="82" spans="5:29" x14ac:dyDescent="0.25">
      <c r="E82" s="15"/>
    </row>
    <row r="83" spans="5:29" x14ac:dyDescent="0.25">
      <c r="E83" s="15"/>
      <c r="Z83" s="28" t="s">
        <v>236</v>
      </c>
      <c r="AA83" t="s">
        <v>640</v>
      </c>
      <c r="AB83" t="s">
        <v>641</v>
      </c>
      <c r="AC83" t="s">
        <v>642</v>
      </c>
    </row>
    <row r="84" spans="5:29" x14ac:dyDescent="0.25">
      <c r="E84" s="15"/>
      <c r="Z84" s="25" t="s">
        <v>108</v>
      </c>
      <c r="AA84" s="26">
        <v>1</v>
      </c>
      <c r="AB84" s="26">
        <v>0.26315789473684209</v>
      </c>
      <c r="AC84" s="26">
        <v>0.26315789473684209</v>
      </c>
    </row>
    <row r="85" spans="5:29" x14ac:dyDescent="0.25">
      <c r="E85" s="15"/>
      <c r="Z85" s="25" t="s">
        <v>109</v>
      </c>
      <c r="AA85" s="26">
        <v>1</v>
      </c>
      <c r="AB85" s="26">
        <v>0.47058823529411764</v>
      </c>
      <c r="AC85" s="26">
        <v>0.47058823529411764</v>
      </c>
    </row>
    <row r="86" spans="5:29" x14ac:dyDescent="0.25">
      <c r="E86" s="15"/>
      <c r="Z86" s="25" t="s">
        <v>625</v>
      </c>
      <c r="AA86" s="26">
        <v>1</v>
      </c>
      <c r="AB86" s="26">
        <v>0.62663185378590081</v>
      </c>
      <c r="AC86" s="26">
        <v>0.52219321148825071</v>
      </c>
    </row>
    <row r="87" spans="5:29" x14ac:dyDescent="0.25">
      <c r="E87" s="15"/>
      <c r="Z87" s="25" t="s">
        <v>273</v>
      </c>
      <c r="AA87" s="26">
        <v>1</v>
      </c>
      <c r="AB87" s="26">
        <v>0.79081632653061229</v>
      </c>
      <c r="AC87" s="26">
        <v>0.38265306122448978</v>
      </c>
    </row>
    <row r="88" spans="5:29" x14ac:dyDescent="0.25">
      <c r="E88" s="15"/>
      <c r="Z88" s="25" t="s">
        <v>110</v>
      </c>
      <c r="AA88" s="26">
        <v>1</v>
      </c>
      <c r="AB88" s="26">
        <v>0.85470085470085466</v>
      </c>
      <c r="AC88" s="26">
        <v>0.28490028490028491</v>
      </c>
    </row>
    <row r="89" spans="5:29" x14ac:dyDescent="0.25">
      <c r="E89" s="15"/>
      <c r="Z89" s="25" t="s">
        <v>111</v>
      </c>
      <c r="AA89" s="26">
        <v>1</v>
      </c>
      <c r="AB89" s="26">
        <v>1</v>
      </c>
      <c r="AC89" s="26">
        <v>1</v>
      </c>
    </row>
    <row r="90" spans="5:29" x14ac:dyDescent="0.25">
      <c r="E90" s="15"/>
      <c r="Z90" s="25" t="s">
        <v>455</v>
      </c>
      <c r="AA90" s="26">
        <v>1</v>
      </c>
      <c r="AB90" s="26">
        <v>0.89600000000000002</v>
      </c>
      <c r="AC90" s="26">
        <v>1</v>
      </c>
    </row>
    <row r="91" spans="5:29" x14ac:dyDescent="0.25">
      <c r="E91" s="15"/>
      <c r="Z91" s="25" t="s">
        <v>176</v>
      </c>
      <c r="AA91" s="26">
        <v>1</v>
      </c>
      <c r="AB91" s="26">
        <v>1</v>
      </c>
      <c r="AC91" s="26">
        <v>0</v>
      </c>
    </row>
    <row r="92" spans="5:29" x14ac:dyDescent="0.25">
      <c r="E92" s="15"/>
      <c r="Z92" s="25" t="s">
        <v>461</v>
      </c>
      <c r="AA92" s="26">
        <v>1</v>
      </c>
      <c r="AB92" s="26">
        <v>0.7062600321027287</v>
      </c>
      <c r="AC92" s="26">
        <v>0.96308186195826651</v>
      </c>
    </row>
    <row r="93" spans="5:29" x14ac:dyDescent="0.25">
      <c r="E93" s="15"/>
      <c r="Z93" s="25" t="s">
        <v>112</v>
      </c>
      <c r="AA93" s="26">
        <v>1</v>
      </c>
      <c r="AB93" s="26">
        <v>0.91743119266055051</v>
      </c>
      <c r="AC93" s="26">
        <v>1</v>
      </c>
    </row>
    <row r="94" spans="5:29" x14ac:dyDescent="0.25">
      <c r="E94" s="15"/>
      <c r="Z94" s="25" t="s">
        <v>827</v>
      </c>
      <c r="AA94" s="26">
        <v>1</v>
      </c>
      <c r="AB94" s="26">
        <v>1</v>
      </c>
      <c r="AC94" s="26">
        <v>1</v>
      </c>
    </row>
    <row r="95" spans="5:29" x14ac:dyDescent="0.25">
      <c r="E95" s="15"/>
      <c r="Z95" s="25" t="s">
        <v>222</v>
      </c>
      <c r="AA95" s="26">
        <v>1</v>
      </c>
      <c r="AB95" s="26">
        <v>1</v>
      </c>
      <c r="AC95" s="26">
        <v>0.15503875968992248</v>
      </c>
    </row>
    <row r="96" spans="5:29" x14ac:dyDescent="0.25">
      <c r="E96" s="15"/>
      <c r="Z96" s="25" t="s">
        <v>606</v>
      </c>
      <c r="AA96" s="26">
        <v>1</v>
      </c>
      <c r="AB96" s="26">
        <v>1</v>
      </c>
      <c r="AC96" s="26">
        <v>0.53908355795148244</v>
      </c>
    </row>
    <row r="97" spans="2:29" x14ac:dyDescent="0.25">
      <c r="E97" s="15"/>
      <c r="Z97" s="25" t="s">
        <v>607</v>
      </c>
      <c r="AA97" s="26">
        <v>1</v>
      </c>
      <c r="AB97" s="26">
        <v>1</v>
      </c>
      <c r="AC97" s="26">
        <v>0.34168564920273348</v>
      </c>
    </row>
    <row r="98" spans="2:29" x14ac:dyDescent="0.25">
      <c r="B98"/>
      <c r="C98"/>
      <c r="D98"/>
      <c r="E98" s="15"/>
      <c r="Z98" s="25" t="s">
        <v>113</v>
      </c>
      <c r="AA98" s="26">
        <v>1</v>
      </c>
      <c r="AB98" s="26">
        <v>1</v>
      </c>
      <c r="AC98" s="26">
        <v>1</v>
      </c>
    </row>
    <row r="99" spans="2:29" x14ac:dyDescent="0.25">
      <c r="B99"/>
      <c r="C99"/>
      <c r="D99"/>
      <c r="Z99" s="25" t="s">
        <v>105</v>
      </c>
      <c r="AA99" s="26">
        <v>1</v>
      </c>
      <c r="AB99" s="26">
        <v>0.86956521739130432</v>
      </c>
      <c r="AC99" s="26">
        <v>0.90579710144927539</v>
      </c>
    </row>
    <row r="100" spans="2:29" x14ac:dyDescent="0.25">
      <c r="B100"/>
      <c r="C100"/>
      <c r="D100"/>
      <c r="Z100" s="25" t="s">
        <v>658</v>
      </c>
      <c r="AA100" s="26">
        <v>1</v>
      </c>
      <c r="AB100" s="26">
        <v>0.48681541582150101</v>
      </c>
      <c r="AC100" s="26">
        <v>0.40567951318458417</v>
      </c>
    </row>
    <row r="101" spans="2:29" x14ac:dyDescent="0.25">
      <c r="B101"/>
      <c r="C101"/>
      <c r="D101"/>
      <c r="Z101" s="25" t="s">
        <v>114</v>
      </c>
      <c r="AA101" s="26">
        <v>1</v>
      </c>
      <c r="AB101" s="26">
        <v>1</v>
      </c>
      <c r="AC101" s="26">
        <v>0.85227272727272729</v>
      </c>
    </row>
    <row r="102" spans="2:29" x14ac:dyDescent="0.25">
      <c r="B102"/>
      <c r="C102"/>
      <c r="D102"/>
      <c r="Z102" s="25" t="s">
        <v>132</v>
      </c>
      <c r="AA102" s="26">
        <v>1</v>
      </c>
      <c r="AB102" s="26">
        <v>0.7407407407407407</v>
      </c>
      <c r="AC102" s="26">
        <v>1</v>
      </c>
    </row>
    <row r="103" spans="2:29" x14ac:dyDescent="0.25">
      <c r="B103"/>
      <c r="C103"/>
      <c r="D103"/>
      <c r="Z103" s="25" t="s">
        <v>133</v>
      </c>
      <c r="AA103" s="26">
        <v>1</v>
      </c>
      <c r="AB103" s="26">
        <v>1</v>
      </c>
      <c r="AC103" s="26">
        <v>1</v>
      </c>
    </row>
    <row r="104" spans="2:29" x14ac:dyDescent="0.25">
      <c r="B104"/>
      <c r="C104"/>
      <c r="D104"/>
      <c r="Z104" s="25" t="s">
        <v>134</v>
      </c>
      <c r="AA104" s="26">
        <v>1</v>
      </c>
      <c r="AB104" s="26">
        <v>0.76923076923076927</v>
      </c>
      <c r="AC104" s="26">
        <v>1</v>
      </c>
    </row>
    <row r="105" spans="2:29" x14ac:dyDescent="0.25">
      <c r="B105"/>
      <c r="C105"/>
      <c r="D105"/>
      <c r="Z105" s="25" t="s">
        <v>184</v>
      </c>
      <c r="AA105" s="26">
        <v>1</v>
      </c>
      <c r="AB105" s="26">
        <v>1</v>
      </c>
      <c r="AC105" s="26">
        <v>0.64516129032258063</v>
      </c>
    </row>
    <row r="106" spans="2:29" x14ac:dyDescent="0.25">
      <c r="B106"/>
      <c r="C106"/>
      <c r="D106"/>
      <c r="Z106" s="25" t="s">
        <v>155</v>
      </c>
      <c r="AA106" s="26">
        <v>1</v>
      </c>
      <c r="AB106" s="26">
        <v>1</v>
      </c>
      <c r="AC106" s="26">
        <v>0.78895463510848129</v>
      </c>
    </row>
    <row r="107" spans="2:29" x14ac:dyDescent="0.25">
      <c r="Z107" s="25" t="s">
        <v>156</v>
      </c>
      <c r="AA107" s="26">
        <v>1</v>
      </c>
      <c r="AB107" s="26">
        <v>1</v>
      </c>
      <c r="AC107" s="26">
        <v>0.24752475247524752</v>
      </c>
    </row>
    <row r="108" spans="2:29" s="12" customFormat="1" x14ac:dyDescent="0.25">
      <c r="C108" s="15"/>
      <c r="D108" s="15"/>
      <c r="E108" s="15"/>
      <c r="Z108" s="25" t="s">
        <v>223</v>
      </c>
      <c r="AA108" s="26">
        <v>1</v>
      </c>
      <c r="AB108" s="26">
        <v>1</v>
      </c>
      <c r="AC108" s="26">
        <v>1</v>
      </c>
    </row>
    <row r="109" spans="2:29" s="12" customFormat="1" x14ac:dyDescent="0.25">
      <c r="C109" s="15"/>
      <c r="D109" s="15"/>
      <c r="E109" s="15"/>
      <c r="Z109" s="25" t="s">
        <v>115</v>
      </c>
      <c r="AA109" s="26">
        <v>1</v>
      </c>
      <c r="AB109" s="26">
        <v>1</v>
      </c>
      <c r="AC109" s="26">
        <v>1</v>
      </c>
    </row>
    <row r="110" spans="2:29" s="12" customFormat="1" x14ac:dyDescent="0.25">
      <c r="C110" s="15"/>
      <c r="D110" s="15"/>
      <c r="E110" s="15"/>
      <c r="Z110" s="25" t="s">
        <v>249</v>
      </c>
      <c r="AA110" s="26">
        <v>0.4790764790764791</v>
      </c>
      <c r="AB110" s="26">
        <v>1</v>
      </c>
      <c r="AC110" s="26">
        <v>1</v>
      </c>
    </row>
    <row r="111" spans="2:29" s="12" customFormat="1" x14ac:dyDescent="0.25">
      <c r="C111" s="15"/>
      <c r="D111" s="15"/>
      <c r="E111" s="15"/>
      <c r="Z111" s="25" t="s">
        <v>216</v>
      </c>
      <c r="AA111" s="26">
        <v>9.7951219512195112E-2</v>
      </c>
      <c r="AB111" s="26">
        <v>1</v>
      </c>
      <c r="AC111" s="26">
        <v>0.48780487804878048</v>
      </c>
    </row>
    <row r="112" spans="2:29" s="12" customFormat="1" x14ac:dyDescent="0.25">
      <c r="B112" s="11"/>
      <c r="C112" s="14"/>
      <c r="D112" s="14"/>
      <c r="E112" s="14"/>
      <c r="F112" s="11"/>
      <c r="G112" s="11"/>
      <c r="H112" s="11"/>
      <c r="Z112" s="25" t="s">
        <v>185</v>
      </c>
      <c r="AA112" s="26">
        <v>1</v>
      </c>
      <c r="AB112" s="26">
        <v>1</v>
      </c>
      <c r="AC112" s="26">
        <v>0.68965517241379315</v>
      </c>
    </row>
    <row r="113" spans="2:29" s="12" customFormat="1" x14ac:dyDescent="0.25">
      <c r="B113" s="11"/>
      <c r="C113" s="14"/>
      <c r="D113" s="14"/>
      <c r="E113" s="14"/>
      <c r="F113" s="11"/>
      <c r="G113" s="11"/>
      <c r="H113" s="11"/>
      <c r="Z113" s="25" t="s">
        <v>274</v>
      </c>
      <c r="AA113" s="26">
        <v>1</v>
      </c>
      <c r="AB113" s="26">
        <v>0.49792531120331951</v>
      </c>
      <c r="AC113" s="26">
        <v>0.82987551867219922</v>
      </c>
    </row>
    <row r="114" spans="2:29" s="12" customFormat="1" x14ac:dyDescent="0.25">
      <c r="B114" s="28" t="s">
        <v>3</v>
      </c>
      <c r="C114" t="s">
        <v>442</v>
      </c>
      <c r="D114" s="14"/>
      <c r="E114" s="14"/>
      <c r="F114" s="11"/>
      <c r="G114" s="11"/>
      <c r="H114" s="11"/>
      <c r="Z114" s="25" t="s">
        <v>135</v>
      </c>
      <c r="AA114" s="26">
        <v>1</v>
      </c>
      <c r="AB114" s="26">
        <v>1</v>
      </c>
      <c r="AC114" s="26">
        <v>0.43149946062567424</v>
      </c>
    </row>
    <row r="115" spans="2:29" s="12" customFormat="1" x14ac:dyDescent="0.25">
      <c r="B115" s="28" t="s">
        <v>4</v>
      </c>
      <c r="C115" t="s">
        <v>74</v>
      </c>
      <c r="D115" s="14"/>
      <c r="E115" s="14"/>
      <c r="F115" s="11"/>
      <c r="G115" s="11"/>
      <c r="H115" s="11"/>
      <c r="Z115" s="25" t="s">
        <v>136</v>
      </c>
      <c r="AA115" s="26">
        <v>1</v>
      </c>
      <c r="AB115" s="26">
        <v>0.85470085470085466</v>
      </c>
      <c r="AC115" s="26">
        <v>0.21367521367521367</v>
      </c>
    </row>
    <row r="116" spans="2:29" s="12" customFormat="1" x14ac:dyDescent="0.25">
      <c r="B116" s="28" t="s">
        <v>285</v>
      </c>
      <c r="C116" t="s">
        <v>74</v>
      </c>
      <c r="D116" s="14"/>
      <c r="E116" s="14"/>
      <c r="F116" s="11"/>
      <c r="G116" s="11"/>
      <c r="H116" s="11"/>
      <c r="Z116" s="25" t="s">
        <v>462</v>
      </c>
      <c r="AA116" s="26">
        <v>1</v>
      </c>
      <c r="AB116" s="26">
        <v>0.6</v>
      </c>
      <c r="AC116" s="26">
        <v>1</v>
      </c>
    </row>
    <row r="117" spans="2:29" s="12" customFormat="1" x14ac:dyDescent="0.25">
      <c r="B117" s="11"/>
      <c r="C117" s="14"/>
      <c r="D117" s="14"/>
      <c r="E117" s="14"/>
      <c r="F117" s="11"/>
      <c r="G117" s="11"/>
      <c r="H117" s="11"/>
      <c r="Z117" s="25" t="s">
        <v>198</v>
      </c>
      <c r="AA117" s="26">
        <v>1</v>
      </c>
      <c r="AB117" s="26">
        <v>1</v>
      </c>
      <c r="AC117" s="26">
        <v>0.63678043810494145</v>
      </c>
    </row>
    <row r="118" spans="2:29" s="12" customFormat="1" ht="45" x14ac:dyDescent="0.25">
      <c r="B118" s="269" t="s">
        <v>236</v>
      </c>
      <c r="C118" s="274" t="s">
        <v>640</v>
      </c>
      <c r="D118" s="274" t="s">
        <v>641</v>
      </c>
      <c r="E118" s="274" t="s">
        <v>642</v>
      </c>
      <c r="F118" s="11"/>
      <c r="G118" s="11"/>
      <c r="H118" s="11"/>
      <c r="Z118" s="25" t="s">
        <v>456</v>
      </c>
      <c r="AA118" s="26">
        <v>1</v>
      </c>
      <c r="AB118" s="26">
        <v>0.70796460176991149</v>
      </c>
      <c r="AC118" s="26">
        <v>1</v>
      </c>
    </row>
    <row r="119" spans="2:29" s="12" customFormat="1" x14ac:dyDescent="0.25">
      <c r="B119" s="25" t="s">
        <v>79</v>
      </c>
      <c r="C119" s="275">
        <v>0.99011461928501432</v>
      </c>
      <c r="D119" s="275">
        <v>0.89109037453662276</v>
      </c>
      <c r="E119" s="275">
        <v>0.83880864118624565</v>
      </c>
      <c r="F119" s="11"/>
      <c r="G119" s="11"/>
      <c r="H119" s="11"/>
      <c r="Z119" s="25" t="s">
        <v>457</v>
      </c>
      <c r="AA119" s="26">
        <v>1</v>
      </c>
      <c r="AB119" s="26">
        <v>1</v>
      </c>
      <c r="AC119" s="26">
        <v>1</v>
      </c>
    </row>
    <row r="120" spans="2:29" s="12" customFormat="1" x14ac:dyDescent="0.25">
      <c r="B120" s="25" t="s">
        <v>78</v>
      </c>
      <c r="C120" s="275">
        <v>0.92471709502176191</v>
      </c>
      <c r="D120" s="275">
        <v>0.83943832004320618</v>
      </c>
      <c r="E120" s="275">
        <v>0.53953680465101506</v>
      </c>
      <c r="F120" s="11"/>
      <c r="G120" s="11"/>
      <c r="H120" s="11"/>
      <c r="Z120" s="25" t="s">
        <v>201</v>
      </c>
      <c r="AA120" s="26">
        <v>1</v>
      </c>
      <c r="AB120" s="26">
        <v>1</v>
      </c>
      <c r="AC120" s="26">
        <v>0.21413276231263384</v>
      </c>
    </row>
    <row r="121" spans="2:29" s="12" customFormat="1" x14ac:dyDescent="0.25">
      <c r="B121" s="25" t="s">
        <v>80</v>
      </c>
      <c r="C121" s="275">
        <v>1</v>
      </c>
      <c r="D121" s="275">
        <v>0.96231046931407938</v>
      </c>
      <c r="E121" s="275">
        <v>0.37805054151624551</v>
      </c>
      <c r="F121" s="11"/>
      <c r="G121" s="11"/>
      <c r="H121" s="11"/>
      <c r="Z121" s="25" t="s">
        <v>202</v>
      </c>
      <c r="AA121" s="26">
        <v>0.43715846994535523</v>
      </c>
      <c r="AB121" s="26">
        <v>0.65573770491803274</v>
      </c>
      <c r="AC121" s="26">
        <v>0.65573770491803274</v>
      </c>
    </row>
    <row r="122" spans="2:29" s="12" customFormat="1" x14ac:dyDescent="0.25">
      <c r="B122" s="25" t="s">
        <v>81</v>
      </c>
      <c r="C122" s="275">
        <v>1</v>
      </c>
      <c r="D122" s="275">
        <v>0.90771799347347648</v>
      </c>
      <c r="E122" s="275">
        <v>0.47051680959247172</v>
      </c>
      <c r="F122" s="11"/>
      <c r="G122" s="11"/>
      <c r="H122" s="11"/>
      <c r="Z122" s="25" t="s">
        <v>203</v>
      </c>
      <c r="AA122" s="26">
        <v>1</v>
      </c>
      <c r="AB122" s="26">
        <v>1</v>
      </c>
      <c r="AC122" s="26">
        <v>1</v>
      </c>
    </row>
    <row r="123" spans="2:29" s="12" customFormat="1" x14ac:dyDescent="0.25">
      <c r="B123" s="25" t="s">
        <v>82</v>
      </c>
      <c r="C123" s="275">
        <v>1</v>
      </c>
      <c r="D123" s="275">
        <v>1</v>
      </c>
      <c r="E123" s="275">
        <v>0.63678043810494145</v>
      </c>
      <c r="F123" s="11"/>
      <c r="G123" s="11"/>
      <c r="H123" s="11"/>
      <c r="Z123" s="25" t="s">
        <v>137</v>
      </c>
      <c r="AA123" s="26">
        <v>1</v>
      </c>
      <c r="AB123" s="26">
        <v>0.82901554404145072</v>
      </c>
      <c r="AC123" s="26">
        <v>1</v>
      </c>
    </row>
    <row r="124" spans="2:29" s="12" customFormat="1" x14ac:dyDescent="0.25">
      <c r="B124" s="25" t="s">
        <v>73</v>
      </c>
      <c r="C124" s="275">
        <v>0.96361534877727228</v>
      </c>
      <c r="D124" s="275">
        <v>0.89022214292086721</v>
      </c>
      <c r="E124" s="275">
        <v>0.55555059922086414</v>
      </c>
      <c r="F124" s="11"/>
      <c r="G124" s="11"/>
      <c r="H124" s="11"/>
      <c r="Z124" s="25" t="s">
        <v>126</v>
      </c>
      <c r="AA124" s="26">
        <v>1</v>
      </c>
      <c r="AB124" s="26">
        <v>0.8</v>
      </c>
      <c r="AC124" s="26">
        <v>1</v>
      </c>
    </row>
    <row r="125" spans="2:29" s="12" customFormat="1" x14ac:dyDescent="0.25">
      <c r="B125"/>
      <c r="C125"/>
      <c r="D125"/>
      <c r="E125"/>
      <c r="F125" s="11"/>
      <c r="G125" s="11"/>
      <c r="H125" s="11"/>
      <c r="Z125" s="25" t="s">
        <v>125</v>
      </c>
      <c r="AA125" s="26">
        <v>0</v>
      </c>
      <c r="AB125" s="26">
        <v>0</v>
      </c>
      <c r="AC125" s="26">
        <v>0</v>
      </c>
    </row>
    <row r="126" spans="2:29" s="12" customFormat="1" x14ac:dyDescent="0.25">
      <c r="B126"/>
      <c r="C126"/>
      <c r="D126"/>
      <c r="E126"/>
      <c r="F126" s="11"/>
      <c r="G126" s="11"/>
      <c r="H126" s="11"/>
      <c r="Z126" s="25" t="s">
        <v>775</v>
      </c>
      <c r="AA126" s="26">
        <v>1</v>
      </c>
      <c r="AB126" s="26">
        <v>0.79656384224912147</v>
      </c>
      <c r="AC126" s="26">
        <v>0.11714174150722374</v>
      </c>
    </row>
    <row r="127" spans="2:29" s="12" customFormat="1" x14ac:dyDescent="0.25">
      <c r="B127"/>
      <c r="C127"/>
      <c r="D127"/>
      <c r="E127"/>
      <c r="F127" s="11"/>
      <c r="G127" s="11"/>
      <c r="H127" s="11"/>
      <c r="Z127" s="25" t="s">
        <v>195</v>
      </c>
      <c r="AA127" s="26">
        <v>1</v>
      </c>
      <c r="AB127" s="26">
        <v>0.88235294117647056</v>
      </c>
      <c r="AC127" s="26">
        <v>0</v>
      </c>
    </row>
    <row r="128" spans="2:29" s="12" customFormat="1" x14ac:dyDescent="0.25">
      <c r="B128" s="11"/>
      <c r="C128" s="14"/>
      <c r="D128" s="14"/>
      <c r="E128" s="14"/>
      <c r="F128" s="11"/>
      <c r="G128" s="11"/>
      <c r="H128" s="11"/>
      <c r="Z128" s="25" t="s">
        <v>138</v>
      </c>
      <c r="AA128" s="26">
        <v>1</v>
      </c>
      <c r="AB128" s="26">
        <v>0.6097560975609756</v>
      </c>
      <c r="AC128" s="26">
        <v>0.3048780487804878</v>
      </c>
    </row>
    <row r="129" spans="2:29" s="12" customFormat="1" x14ac:dyDescent="0.25">
      <c r="B129" s="11"/>
      <c r="C129" s="14"/>
      <c r="D129" s="14"/>
      <c r="E129" s="14"/>
      <c r="F129" s="11"/>
      <c r="G129" s="11"/>
      <c r="H129" s="11"/>
      <c r="Z129" s="25" t="s">
        <v>139</v>
      </c>
      <c r="AA129" s="26">
        <v>1</v>
      </c>
      <c r="AB129" s="26">
        <v>1</v>
      </c>
      <c r="AC129" s="26">
        <v>0.64935064935064934</v>
      </c>
    </row>
    <row r="130" spans="2:29" s="12" customFormat="1" x14ac:dyDescent="0.25">
      <c r="B130" s="11"/>
      <c r="C130" s="14"/>
      <c r="D130" s="14"/>
      <c r="E130" s="14"/>
      <c r="F130" s="11"/>
      <c r="G130" s="11"/>
      <c r="H130" s="11"/>
      <c r="Z130" s="25" t="s">
        <v>106</v>
      </c>
      <c r="AA130" s="26">
        <v>1</v>
      </c>
      <c r="AB130" s="26">
        <v>0.89368258859784289</v>
      </c>
      <c r="AC130" s="26">
        <v>1</v>
      </c>
    </row>
    <row r="131" spans="2:29" s="12" customFormat="1" x14ac:dyDescent="0.25">
      <c r="B131" s="11"/>
      <c r="C131" s="14"/>
      <c r="D131" s="14"/>
      <c r="E131" s="14"/>
      <c r="F131" s="11"/>
      <c r="G131" s="11"/>
      <c r="H131" s="11"/>
      <c r="Z131" s="25" t="s">
        <v>116</v>
      </c>
      <c r="AA131" s="26">
        <v>1</v>
      </c>
      <c r="AB131" s="26">
        <v>1</v>
      </c>
      <c r="AC131" s="26">
        <v>0.85470085470085466</v>
      </c>
    </row>
    <row r="132" spans="2:29" s="12" customFormat="1" x14ac:dyDescent="0.25">
      <c r="B132" s="11"/>
      <c r="C132" s="14"/>
      <c r="D132" s="14"/>
      <c r="E132" s="14"/>
      <c r="F132" s="11"/>
      <c r="G132" s="11"/>
      <c r="H132" s="11"/>
      <c r="Z132" s="25" t="s">
        <v>117</v>
      </c>
      <c r="AA132" s="26">
        <v>1</v>
      </c>
      <c r="AB132" s="26">
        <v>1</v>
      </c>
      <c r="AC132" s="26">
        <v>1</v>
      </c>
    </row>
    <row r="133" spans="2:29" s="12" customFormat="1" x14ac:dyDescent="0.25">
      <c r="B133" s="28" t="s">
        <v>4</v>
      </c>
      <c r="C133" t="s">
        <v>74</v>
      </c>
      <c r="D133" s="14"/>
      <c r="E133" s="14"/>
      <c r="F133" s="11"/>
      <c r="G133" s="11"/>
      <c r="H133" s="11"/>
      <c r="Z133" s="25" t="s">
        <v>177</v>
      </c>
      <c r="AA133" s="26">
        <v>1</v>
      </c>
      <c r="AB133" s="26">
        <v>0.8</v>
      </c>
      <c r="AC133" s="26">
        <v>0.8</v>
      </c>
    </row>
    <row r="134" spans="2:29" s="12" customFormat="1" x14ac:dyDescent="0.25">
      <c r="B134" s="28" t="s">
        <v>0</v>
      </c>
      <c r="C134" t="s">
        <v>74</v>
      </c>
      <c r="D134" s="14"/>
      <c r="E134" s="14"/>
      <c r="F134" s="11"/>
      <c r="G134" s="11"/>
      <c r="H134" s="11"/>
      <c r="Z134" s="25" t="s">
        <v>188</v>
      </c>
      <c r="AA134" s="26">
        <v>1</v>
      </c>
      <c r="AB134" s="26">
        <v>1</v>
      </c>
      <c r="AC134" s="26">
        <v>0.76628352490421459</v>
      </c>
    </row>
    <row r="135" spans="2:29" s="12" customFormat="1" x14ac:dyDescent="0.25">
      <c r="B135" s="28" t="s">
        <v>285</v>
      </c>
      <c r="C135" t="s">
        <v>74</v>
      </c>
      <c r="D135" s="14"/>
      <c r="E135" s="14"/>
      <c r="F135" s="11"/>
      <c r="G135" s="11"/>
      <c r="H135" s="11"/>
      <c r="Z135" s="25" t="s">
        <v>626</v>
      </c>
      <c r="AA135" s="26">
        <v>1</v>
      </c>
      <c r="AB135" s="26">
        <v>0.55172413793103448</v>
      </c>
      <c r="AC135" s="26">
        <v>0.22988505747126436</v>
      </c>
    </row>
    <row r="136" spans="2:29" s="12" customFormat="1" x14ac:dyDescent="0.25">
      <c r="B136" s="11"/>
      <c r="C136" s="14"/>
      <c r="D136" s="14"/>
      <c r="E136" s="14"/>
      <c r="F136" s="11"/>
      <c r="G136" s="11"/>
      <c r="H136" s="11"/>
      <c r="Z136" s="25" t="s">
        <v>627</v>
      </c>
      <c r="AA136" s="26">
        <v>1</v>
      </c>
      <c r="AB136" s="26">
        <v>1</v>
      </c>
      <c r="AC136" s="26">
        <v>0.45454545454545453</v>
      </c>
    </row>
    <row r="137" spans="2:29" s="12" customFormat="1" ht="45" x14ac:dyDescent="0.25">
      <c r="B137" s="269" t="s">
        <v>236</v>
      </c>
      <c r="C137" s="274" t="s">
        <v>640</v>
      </c>
      <c r="D137" s="274" t="s">
        <v>641</v>
      </c>
      <c r="E137" s="274" t="s">
        <v>642</v>
      </c>
      <c r="F137" s="11"/>
      <c r="G137" s="11"/>
      <c r="H137" s="11"/>
      <c r="Z137" s="25" t="s">
        <v>628</v>
      </c>
      <c r="AA137" s="26">
        <v>1</v>
      </c>
      <c r="AB137" s="26">
        <v>1</v>
      </c>
      <c r="AC137" s="26">
        <v>0.86956521739130432</v>
      </c>
    </row>
    <row r="138" spans="2:29" s="12" customFormat="1" x14ac:dyDescent="0.25">
      <c r="B138" s="25" t="s">
        <v>442</v>
      </c>
      <c r="C138" s="275">
        <v>0.96361534877727217</v>
      </c>
      <c r="D138" s="275">
        <v>0.89022214292086721</v>
      </c>
      <c r="E138" s="275">
        <v>0.55555059922086414</v>
      </c>
      <c r="F138" s="11"/>
      <c r="G138" s="11"/>
      <c r="H138" s="11"/>
      <c r="Z138" s="25" t="s">
        <v>315</v>
      </c>
      <c r="AA138" s="26">
        <v>1</v>
      </c>
      <c r="AB138" s="26">
        <v>1</v>
      </c>
      <c r="AC138" s="26">
        <v>0.967741935483871</v>
      </c>
    </row>
    <row r="139" spans="2:29" s="12" customFormat="1" x14ac:dyDescent="0.25">
      <c r="B139" s="25" t="s">
        <v>443</v>
      </c>
      <c r="C139" s="275">
        <v>0.44714173844949101</v>
      </c>
      <c r="D139" s="275">
        <v>0.34866875489428345</v>
      </c>
      <c r="E139" s="275">
        <v>0.31773688332028194</v>
      </c>
      <c r="F139" s="11"/>
      <c r="G139" s="11"/>
      <c r="H139" s="11"/>
      <c r="Z139" s="25" t="s">
        <v>316</v>
      </c>
      <c r="AA139" s="26">
        <v>1</v>
      </c>
      <c r="AB139" s="26">
        <v>1</v>
      </c>
      <c r="AC139" s="26">
        <v>1</v>
      </c>
    </row>
    <row r="140" spans="2:29" s="12" customFormat="1" x14ac:dyDescent="0.25">
      <c r="B140" s="25" t="s">
        <v>453</v>
      </c>
      <c r="C140" s="275">
        <v>0.48050072219547424</v>
      </c>
      <c r="D140" s="275">
        <v>0.50521585620285669</v>
      </c>
      <c r="E140" s="275">
        <v>0.39624458353394321</v>
      </c>
      <c r="F140" s="11"/>
      <c r="G140" s="11"/>
      <c r="H140" s="11"/>
      <c r="Z140" s="25" t="s">
        <v>157</v>
      </c>
      <c r="AA140" s="26">
        <v>1</v>
      </c>
      <c r="AB140" s="26">
        <v>1</v>
      </c>
      <c r="AC140" s="26">
        <v>1</v>
      </c>
    </row>
    <row r="141" spans="2:29" s="12" customFormat="1" x14ac:dyDescent="0.25">
      <c r="B141" s="25" t="s">
        <v>73</v>
      </c>
      <c r="C141" s="275">
        <v>0.89174591460647468</v>
      </c>
      <c r="D141" s="275">
        <v>0.82450090975023216</v>
      </c>
      <c r="E141" s="275">
        <v>0.52746427798913387</v>
      </c>
      <c r="F141" s="11"/>
      <c r="G141" s="11"/>
      <c r="H141" s="11"/>
      <c r="Z141" s="25" t="s">
        <v>158</v>
      </c>
      <c r="AA141" s="26">
        <v>1</v>
      </c>
      <c r="AB141" s="26">
        <v>1</v>
      </c>
      <c r="AC141" s="26">
        <v>0.99274532264222981</v>
      </c>
    </row>
    <row r="142" spans="2:29" s="12" customFormat="1" x14ac:dyDescent="0.25">
      <c r="B142"/>
      <c r="C142"/>
      <c r="D142"/>
      <c r="E142"/>
      <c r="F142" s="11"/>
      <c r="G142" s="11"/>
      <c r="H142" s="11"/>
      <c r="Z142" s="25" t="s">
        <v>159</v>
      </c>
      <c r="AA142" s="26">
        <v>1</v>
      </c>
      <c r="AB142" s="26">
        <v>0.81300813008130079</v>
      </c>
      <c r="AC142" s="26">
        <v>0.81300813008130079</v>
      </c>
    </row>
    <row r="143" spans="2:29" s="12" customFormat="1" x14ac:dyDescent="0.25">
      <c r="B143"/>
      <c r="C143"/>
      <c r="D143"/>
      <c r="E143"/>
      <c r="F143" s="11"/>
      <c r="G143" s="11"/>
      <c r="H143" s="11"/>
      <c r="Z143" s="25" t="s">
        <v>160</v>
      </c>
      <c r="AA143" s="26">
        <v>1</v>
      </c>
      <c r="AB143" s="26">
        <v>0.2593192868719611</v>
      </c>
      <c r="AC143" s="26">
        <v>0.32414910858995138</v>
      </c>
    </row>
    <row r="144" spans="2:29" s="12" customFormat="1" x14ac:dyDescent="0.25">
      <c r="B144" s="11"/>
      <c r="C144" s="14"/>
      <c r="D144" s="14"/>
      <c r="E144" s="14"/>
      <c r="F144" s="11"/>
      <c r="G144" s="11"/>
      <c r="H144" s="11"/>
      <c r="Z144" s="25" t="s">
        <v>161</v>
      </c>
      <c r="AA144" s="26">
        <v>1</v>
      </c>
      <c r="AB144" s="26">
        <v>1</v>
      </c>
      <c r="AC144" s="26">
        <v>0.28971511347175277</v>
      </c>
    </row>
    <row r="145" spans="1:29" s="12" customFormat="1" x14ac:dyDescent="0.25">
      <c r="B145" s="11"/>
      <c r="C145" s="14"/>
      <c r="D145" s="14"/>
      <c r="E145" s="14"/>
      <c r="F145" s="11"/>
      <c r="G145" s="11"/>
      <c r="H145" s="11"/>
      <c r="Z145" s="25" t="s">
        <v>162</v>
      </c>
      <c r="AA145" s="26">
        <v>1</v>
      </c>
      <c r="AB145" s="26">
        <v>1</v>
      </c>
      <c r="AC145" s="26">
        <v>1</v>
      </c>
    </row>
    <row r="146" spans="1:29" s="12" customFormat="1" x14ac:dyDescent="0.25">
      <c r="B146" s="11"/>
      <c r="C146" s="14"/>
      <c r="D146" s="14"/>
      <c r="E146" s="14"/>
      <c r="F146" s="11"/>
      <c r="G146" s="11"/>
      <c r="H146" s="11"/>
      <c r="Z146" s="25" t="s">
        <v>311</v>
      </c>
      <c r="AA146" s="26">
        <v>1</v>
      </c>
      <c r="AB146" s="26">
        <v>1</v>
      </c>
      <c r="AC146" s="26">
        <v>0.34965034965034963</v>
      </c>
    </row>
    <row r="147" spans="1:29" s="12" customFormat="1" x14ac:dyDescent="0.25">
      <c r="B147" s="11"/>
      <c r="C147" s="14"/>
      <c r="D147" s="14"/>
      <c r="E147" s="14"/>
      <c r="F147" s="11"/>
      <c r="G147" s="11"/>
      <c r="H147" s="11"/>
      <c r="Z147" s="25" t="s">
        <v>312</v>
      </c>
      <c r="AA147" s="26">
        <v>1</v>
      </c>
      <c r="AB147" s="26">
        <v>1</v>
      </c>
      <c r="AC147" s="26">
        <v>0.66225165562913912</v>
      </c>
    </row>
    <row r="148" spans="1:29" s="12" customFormat="1" x14ac:dyDescent="0.25">
      <c r="C148" s="16"/>
      <c r="D148" s="27"/>
      <c r="E148" s="27"/>
      <c r="F148" s="11"/>
      <c r="G148" s="11"/>
      <c r="H148" s="11"/>
      <c r="Z148" s="25" t="s">
        <v>140</v>
      </c>
      <c r="AA148" s="26">
        <v>1</v>
      </c>
      <c r="AB148" s="26">
        <v>0.75471698113207553</v>
      </c>
      <c r="AC148" s="26">
        <v>0.62893081761006286</v>
      </c>
    </row>
    <row r="149" spans="1:29" s="12" customFormat="1" x14ac:dyDescent="0.25">
      <c r="C149" s="15"/>
      <c r="D149" s="14"/>
      <c r="E149" s="14"/>
      <c r="F149" s="11"/>
      <c r="G149" s="11"/>
      <c r="H149" s="11"/>
      <c r="Z149" s="25" t="s">
        <v>217</v>
      </c>
      <c r="AA149" s="26">
        <v>1</v>
      </c>
      <c r="AB149" s="26">
        <v>1</v>
      </c>
      <c r="AC149" s="26">
        <v>1</v>
      </c>
    </row>
    <row r="150" spans="1:29" s="12" customFormat="1" x14ac:dyDescent="0.25">
      <c r="B150" s="11"/>
      <c r="C150" s="14"/>
      <c r="D150" s="14"/>
      <c r="E150" s="14"/>
      <c r="F150" s="11"/>
      <c r="G150" s="11"/>
      <c r="H150" s="11"/>
      <c r="Z150" s="25" t="s">
        <v>458</v>
      </c>
      <c r="AA150" s="26">
        <v>1</v>
      </c>
      <c r="AB150" s="26">
        <v>0.88888888888888884</v>
      </c>
      <c r="AC150" s="26">
        <v>0.7407407407407407</v>
      </c>
    </row>
    <row r="151" spans="1:29" s="12" customFormat="1" ht="31.5" customHeight="1" x14ac:dyDescent="0.25">
      <c r="B151" s="264" t="s">
        <v>93</v>
      </c>
      <c r="C151" s="32"/>
      <c r="D151" s="32"/>
      <c r="E151" s="32"/>
      <c r="F151" s="32"/>
      <c r="G151" s="32"/>
      <c r="H151" s="32"/>
      <c r="I151" s="32"/>
      <c r="J151" s="32"/>
      <c r="K151" s="32"/>
      <c r="L151" s="32"/>
      <c r="M151" s="32"/>
      <c r="N151" s="33"/>
      <c r="Z151" s="25" t="s">
        <v>141</v>
      </c>
      <c r="AA151" s="26">
        <v>1</v>
      </c>
      <c r="AB151" s="26">
        <v>1</v>
      </c>
      <c r="AC151" s="26">
        <v>0.54347826086956519</v>
      </c>
    </row>
    <row r="152" spans="1:29" s="12" customFormat="1" x14ac:dyDescent="0.25">
      <c r="B152" s="11"/>
      <c r="C152" s="14"/>
      <c r="D152" s="14"/>
      <c r="E152" s="14"/>
      <c r="F152" s="11"/>
      <c r="G152" s="11"/>
      <c r="H152" s="11"/>
      <c r="Z152" s="25" t="s">
        <v>278</v>
      </c>
      <c r="AA152" s="26">
        <v>1</v>
      </c>
      <c r="AB152" s="26">
        <v>0.4580152671755725</v>
      </c>
      <c r="AC152" s="26">
        <v>0.38167938931297712</v>
      </c>
    </row>
    <row r="153" spans="1:29" s="12" customFormat="1" x14ac:dyDescent="0.25">
      <c r="B153" s="11"/>
      <c r="C153" s="14"/>
      <c r="D153" s="14"/>
      <c r="E153" s="14"/>
      <c r="F153" s="11"/>
      <c r="G153" s="11"/>
      <c r="H153" s="11"/>
      <c r="Z153" s="25" t="s">
        <v>279</v>
      </c>
      <c r="AA153" s="26">
        <v>1</v>
      </c>
      <c r="AB153" s="26">
        <v>1</v>
      </c>
      <c r="AC153" s="26">
        <v>0.2808988764044944</v>
      </c>
    </row>
    <row r="154" spans="1:29" s="12" customFormat="1" x14ac:dyDescent="0.25">
      <c r="B154" s="11"/>
      <c r="C154" s="14"/>
      <c r="D154" s="14"/>
      <c r="E154" s="14"/>
      <c r="F154" s="11"/>
      <c r="G154" s="11"/>
      <c r="H154" s="11"/>
      <c r="Z154" s="25" t="s">
        <v>191</v>
      </c>
      <c r="AA154" s="26">
        <v>1</v>
      </c>
      <c r="AB154" s="26">
        <v>1</v>
      </c>
      <c r="AC154" s="26">
        <v>1</v>
      </c>
    </row>
    <row r="155" spans="1:29" s="12" customFormat="1" x14ac:dyDescent="0.25">
      <c r="B155" s="11"/>
      <c r="C155" s="14"/>
      <c r="D155" s="14"/>
      <c r="E155" s="14"/>
      <c r="F155" s="11"/>
      <c r="G155" s="11"/>
      <c r="H155" s="11"/>
      <c r="Z155" s="25" t="s">
        <v>616</v>
      </c>
      <c r="AA155" s="26">
        <v>1</v>
      </c>
      <c r="AB155" s="26">
        <v>1</v>
      </c>
      <c r="AC155" s="26">
        <v>1</v>
      </c>
    </row>
    <row r="156" spans="1:29" s="12" customFormat="1" x14ac:dyDescent="0.25">
      <c r="A156" s="11"/>
      <c r="B156" s="28" t="s">
        <v>4</v>
      </c>
      <c r="C156" t="s">
        <v>74</v>
      </c>
      <c r="D156" s="14"/>
      <c r="E156" s="14"/>
      <c r="F156" s="11"/>
      <c r="G156" s="11"/>
      <c r="H156" s="11"/>
      <c r="I156" s="11"/>
      <c r="J156" s="11"/>
      <c r="K156" s="11"/>
      <c r="L156" s="11"/>
      <c r="M156" s="11"/>
      <c r="N156" s="11"/>
      <c r="O156" s="11"/>
      <c r="Z156" s="25" t="s">
        <v>617</v>
      </c>
      <c r="AA156" s="26">
        <v>1</v>
      </c>
      <c r="AB156" s="26">
        <v>1</v>
      </c>
      <c r="AC156" s="26">
        <v>1</v>
      </c>
    </row>
    <row r="157" spans="1:29" x14ac:dyDescent="0.25">
      <c r="B157" s="28" t="s">
        <v>0</v>
      </c>
      <c r="C157" t="s">
        <v>74</v>
      </c>
      <c r="Z157" s="25" t="s">
        <v>127</v>
      </c>
      <c r="AA157" s="26">
        <v>1</v>
      </c>
      <c r="AB157" s="26">
        <v>1</v>
      </c>
      <c r="AC157" s="26">
        <v>1</v>
      </c>
    </row>
    <row r="158" spans="1:29" x14ac:dyDescent="0.25">
      <c r="B158" s="269" t="s">
        <v>3</v>
      </c>
      <c r="C158" t="s">
        <v>74</v>
      </c>
      <c r="Z158" s="25" t="s">
        <v>280</v>
      </c>
      <c r="AA158" s="26">
        <v>1</v>
      </c>
      <c r="AB158" s="26">
        <v>1</v>
      </c>
      <c r="AC158" s="26">
        <v>1</v>
      </c>
    </row>
    <row r="159" spans="1:29" x14ac:dyDescent="0.25">
      <c r="B159" s="28" t="s">
        <v>285</v>
      </c>
      <c r="C159" t="s">
        <v>74</v>
      </c>
      <c r="Z159" s="25" t="s">
        <v>142</v>
      </c>
      <c r="AA159" s="26">
        <v>1</v>
      </c>
      <c r="AB159" s="26">
        <v>1</v>
      </c>
      <c r="AC159" s="26">
        <v>1</v>
      </c>
    </row>
    <row r="160" spans="1:29" x14ac:dyDescent="0.25">
      <c r="Z160" s="25" t="s">
        <v>143</v>
      </c>
      <c r="AA160" s="26">
        <v>1</v>
      </c>
      <c r="AB160" s="26">
        <v>1</v>
      </c>
      <c r="AC160" s="26">
        <v>1</v>
      </c>
    </row>
    <row r="161" spans="1:29" x14ac:dyDescent="0.25">
      <c r="B161" s="28" t="s">
        <v>236</v>
      </c>
      <c r="C161" t="s">
        <v>644</v>
      </c>
      <c r="D161"/>
      <c r="E161"/>
      <c r="Z161" s="25" t="s">
        <v>118</v>
      </c>
      <c r="AA161" s="26">
        <v>1</v>
      </c>
      <c r="AB161" s="26">
        <v>1</v>
      </c>
      <c r="AC161" s="26">
        <v>1</v>
      </c>
    </row>
    <row r="162" spans="1:29" x14ac:dyDescent="0.25">
      <c r="B162" s="25" t="s">
        <v>239</v>
      </c>
      <c r="C162" s="277">
        <v>23</v>
      </c>
      <c r="D162"/>
      <c r="E162"/>
      <c r="Z162" s="25" t="s">
        <v>204</v>
      </c>
      <c r="AA162" s="26">
        <v>1</v>
      </c>
      <c r="AB162" s="26">
        <v>1</v>
      </c>
      <c r="AC162" s="26">
        <v>1</v>
      </c>
    </row>
    <row r="163" spans="1:29" x14ac:dyDescent="0.25">
      <c r="B163" s="25" t="s">
        <v>797</v>
      </c>
      <c r="C163" s="277">
        <v>1</v>
      </c>
      <c r="D163"/>
      <c r="E163"/>
      <c r="Z163" s="25" t="s">
        <v>192</v>
      </c>
      <c r="AA163" s="26">
        <v>1</v>
      </c>
      <c r="AB163" s="26">
        <v>1</v>
      </c>
      <c r="AC163" s="26">
        <v>0.98039215686274506</v>
      </c>
    </row>
    <row r="164" spans="1:29" x14ac:dyDescent="0.25">
      <c r="A164" s="12"/>
      <c r="B164" s="25" t="s">
        <v>716</v>
      </c>
      <c r="C164" s="277">
        <v>3</v>
      </c>
      <c r="D164"/>
      <c r="E164"/>
      <c r="F164"/>
      <c r="G164"/>
      <c r="H164"/>
      <c r="M164" s="12"/>
      <c r="N164" s="12"/>
      <c r="O164" s="12"/>
      <c r="Z164" s="25" t="s">
        <v>205</v>
      </c>
      <c r="AA164" s="26">
        <v>0.92961487383798147</v>
      </c>
      <c r="AB164" s="26">
        <v>1</v>
      </c>
      <c r="AC164" s="26">
        <v>1</v>
      </c>
    </row>
    <row r="165" spans="1:29" s="12" customFormat="1" x14ac:dyDescent="0.25">
      <c r="A165" s="11"/>
      <c r="B165" s="25" t="s">
        <v>945</v>
      </c>
      <c r="C165" s="277">
        <v>1</v>
      </c>
      <c r="D165"/>
      <c r="E165"/>
      <c r="F165" s="13"/>
      <c r="G165" s="11"/>
      <c r="H165" s="11"/>
      <c r="I165" s="11"/>
      <c r="J165" s="11"/>
      <c r="K165" s="11"/>
      <c r="L165" s="11"/>
      <c r="M165" s="11"/>
      <c r="N165" s="11"/>
      <c r="O165" s="11"/>
      <c r="Z165" s="25" t="s">
        <v>206</v>
      </c>
      <c r="AA165" s="26">
        <v>1</v>
      </c>
      <c r="AB165" s="26">
        <v>1</v>
      </c>
      <c r="AC165" s="26">
        <v>1</v>
      </c>
    </row>
    <row r="166" spans="1:29" x14ac:dyDescent="0.25">
      <c r="A166" s="12"/>
      <c r="B166" s="25" t="s">
        <v>238</v>
      </c>
      <c r="C166" s="277">
        <v>144</v>
      </c>
      <c r="I166" s="12"/>
      <c r="J166" s="12"/>
      <c r="K166" s="12"/>
      <c r="L166" s="12"/>
      <c r="M166" s="12"/>
      <c r="N166" s="12"/>
      <c r="O166" s="12"/>
      <c r="Z166" s="25" t="s">
        <v>472</v>
      </c>
      <c r="AA166" s="26">
        <v>1</v>
      </c>
      <c r="AB166" s="26">
        <v>1</v>
      </c>
      <c r="AC166" s="26">
        <v>1</v>
      </c>
    </row>
    <row r="167" spans="1:29" s="12" customFormat="1" x14ac:dyDescent="0.25">
      <c r="B167" s="25" t="s">
        <v>73</v>
      </c>
      <c r="C167" s="277">
        <v>172</v>
      </c>
      <c r="D167" s="14"/>
      <c r="E167" s="14"/>
      <c r="F167" s="11"/>
      <c r="G167" s="11"/>
      <c r="H167" s="11"/>
      <c r="Z167" s="25" t="s">
        <v>473</v>
      </c>
      <c r="AA167" s="26">
        <v>0.52493438320209973</v>
      </c>
      <c r="AB167" s="26">
        <v>1</v>
      </c>
      <c r="AC167" s="26">
        <v>1</v>
      </c>
    </row>
    <row r="168" spans="1:29" s="12" customFormat="1" x14ac:dyDescent="0.25">
      <c r="B168" s="25"/>
      <c r="C168" s="277"/>
      <c r="D168" s="14"/>
      <c r="E168" s="14"/>
      <c r="F168" s="11"/>
      <c r="G168" s="11"/>
      <c r="H168" s="11"/>
      <c r="Z168" s="25" t="s">
        <v>454</v>
      </c>
      <c r="AA168" s="26">
        <v>1</v>
      </c>
      <c r="AB168" s="26">
        <v>0.88888888888888884</v>
      </c>
      <c r="AC168" s="26">
        <v>1</v>
      </c>
    </row>
    <row r="169" spans="1:29" s="12" customFormat="1" x14ac:dyDescent="0.25">
      <c r="B169" s="25"/>
      <c r="C169" s="277"/>
      <c r="D169" s="14"/>
      <c r="E169" s="14"/>
      <c r="F169" s="11"/>
      <c r="G169" s="11"/>
      <c r="H169" s="11"/>
      <c r="Z169" s="25" t="s">
        <v>614</v>
      </c>
      <c r="AA169" s="26">
        <v>1</v>
      </c>
      <c r="AB169" s="26">
        <v>0.57866184448462932</v>
      </c>
      <c r="AC169" s="26">
        <v>0.36166365280289331</v>
      </c>
    </row>
    <row r="170" spans="1:29" s="12" customFormat="1" x14ac:dyDescent="0.25">
      <c r="B170" s="25"/>
      <c r="C170" s="277"/>
      <c r="D170" s="14"/>
      <c r="E170" s="14"/>
      <c r="F170" s="11"/>
      <c r="G170" s="11"/>
      <c r="H170" s="11"/>
      <c r="Z170" s="25" t="s">
        <v>210</v>
      </c>
      <c r="AA170" s="26">
        <v>1</v>
      </c>
      <c r="AB170" s="26">
        <v>0.98445595854922274</v>
      </c>
      <c r="AC170" s="26">
        <v>0.51813471502590669</v>
      </c>
    </row>
    <row r="171" spans="1:29" s="12" customFormat="1" x14ac:dyDescent="0.25">
      <c r="B171" s="25"/>
      <c r="C171" s="277"/>
      <c r="D171" s="14"/>
      <c r="E171" s="14"/>
      <c r="F171" s="11"/>
      <c r="G171" s="11"/>
      <c r="H171" s="11"/>
      <c r="Z171" s="25" t="s">
        <v>211</v>
      </c>
      <c r="AA171" s="26">
        <v>1</v>
      </c>
      <c r="AB171" s="26">
        <v>0.54644808743169404</v>
      </c>
      <c r="AC171" s="26">
        <v>0.54644808743169404</v>
      </c>
    </row>
    <row r="172" spans="1:29" s="12" customFormat="1" x14ac:dyDescent="0.25">
      <c r="B172" s="11"/>
      <c r="C172" s="14"/>
      <c r="D172" s="14"/>
      <c r="E172" s="14"/>
      <c r="F172" s="11"/>
      <c r="G172" s="11"/>
      <c r="H172" s="11"/>
      <c r="Z172" s="25" t="s">
        <v>212</v>
      </c>
      <c r="AA172" s="26">
        <v>1</v>
      </c>
      <c r="AB172" s="26">
        <v>1</v>
      </c>
      <c r="AC172" s="26">
        <v>0.94339622641509435</v>
      </c>
    </row>
    <row r="173" spans="1:29" s="12" customFormat="1" x14ac:dyDescent="0.25">
      <c r="B173" s="11"/>
      <c r="C173" s="14"/>
      <c r="D173" s="14"/>
      <c r="E173" s="14"/>
      <c r="F173" s="11"/>
      <c r="G173" s="11"/>
      <c r="H173" s="11"/>
      <c r="Z173" s="25" t="s">
        <v>207</v>
      </c>
      <c r="AA173" s="26">
        <v>1</v>
      </c>
      <c r="AB173" s="26">
        <v>1</v>
      </c>
      <c r="AC173" s="26">
        <v>0.71942446043165464</v>
      </c>
    </row>
    <row r="174" spans="1:29" s="12" customFormat="1" x14ac:dyDescent="0.25">
      <c r="B174"/>
      <c r="C174"/>
      <c r="D174" s="14"/>
      <c r="E174" s="14"/>
      <c r="F174" s="11"/>
      <c r="G174" s="11"/>
      <c r="H174" s="11"/>
      <c r="Z174" s="25" t="s">
        <v>224</v>
      </c>
      <c r="AA174" s="26">
        <v>1</v>
      </c>
      <c r="AB174" s="26">
        <v>1</v>
      </c>
      <c r="AC174" s="26">
        <v>1</v>
      </c>
    </row>
    <row r="175" spans="1:29" s="12" customFormat="1" x14ac:dyDescent="0.25">
      <c r="B175" s="28" t="s">
        <v>3</v>
      </c>
      <c r="C175" t="s">
        <v>442</v>
      </c>
      <c r="D175" s="14"/>
      <c r="E175" s="14"/>
      <c r="F175" s="11"/>
      <c r="G175" s="11"/>
      <c r="H175" s="11"/>
      <c r="Z175" s="25" t="s">
        <v>451</v>
      </c>
      <c r="AA175" s="26">
        <v>1</v>
      </c>
      <c r="AB175" s="26">
        <v>1</v>
      </c>
      <c r="AC175" s="26">
        <v>1</v>
      </c>
    </row>
    <row r="176" spans="1:29" s="12" customFormat="1" x14ac:dyDescent="0.25">
      <c r="B176" s="28" t="s">
        <v>285</v>
      </c>
      <c r="C176" t="s">
        <v>74</v>
      </c>
      <c r="D176" s="14"/>
      <c r="E176" s="14"/>
      <c r="F176" s="11"/>
      <c r="G176" s="11"/>
      <c r="H176" s="11"/>
      <c r="Z176" s="25" t="s">
        <v>215</v>
      </c>
      <c r="AA176" s="26">
        <v>1</v>
      </c>
      <c r="AB176" s="26">
        <v>1</v>
      </c>
      <c r="AC176" s="26">
        <v>0.97402597402597402</v>
      </c>
    </row>
    <row r="177" spans="1:29" s="12" customFormat="1" ht="16.5" customHeight="1" x14ac:dyDescent="0.25">
      <c r="A177" s="11"/>
      <c r="B177" s="11"/>
      <c r="C177" s="14"/>
      <c r="D177" s="14"/>
      <c r="E177" s="14"/>
      <c r="F177" s="11"/>
      <c r="G177" s="11"/>
      <c r="H177" s="11"/>
      <c r="O177" s="11"/>
      <c r="Z177" s="25" t="s">
        <v>178</v>
      </c>
      <c r="AA177" s="26">
        <v>1</v>
      </c>
      <c r="AB177" s="26">
        <v>1</v>
      </c>
      <c r="AC177" s="26">
        <v>1</v>
      </c>
    </row>
    <row r="178" spans="1:29" ht="45" x14ac:dyDescent="0.25">
      <c r="B178" s="269" t="s">
        <v>236</v>
      </c>
      <c r="C178" s="274" t="s">
        <v>640</v>
      </c>
      <c r="D178" s="274" t="s">
        <v>650</v>
      </c>
      <c r="F178" s="282"/>
      <c r="I178" s="12"/>
      <c r="J178" s="12"/>
      <c r="K178" s="12"/>
      <c r="L178" s="12"/>
      <c r="M178" s="12"/>
      <c r="N178" s="12"/>
      <c r="Z178" s="25" t="s">
        <v>119</v>
      </c>
      <c r="AA178" s="26">
        <v>1</v>
      </c>
      <c r="AB178" s="26">
        <v>0.73529411764705888</v>
      </c>
      <c r="AC178" s="26">
        <v>0.73529411764705888</v>
      </c>
    </row>
    <row r="179" spans="1:29" x14ac:dyDescent="0.25">
      <c r="B179" s="25" t="s">
        <v>213</v>
      </c>
      <c r="C179" s="275">
        <v>0.95970609522011385</v>
      </c>
      <c r="D179" s="275">
        <v>1.1572107366499947E-2</v>
      </c>
      <c r="I179" s="12"/>
      <c r="J179" s="12"/>
      <c r="K179" s="12"/>
      <c r="L179" s="12"/>
      <c r="M179" s="12"/>
      <c r="N179" s="12"/>
      <c r="Z179" s="25" t="s">
        <v>226</v>
      </c>
      <c r="AA179" s="26">
        <v>1</v>
      </c>
      <c r="AB179" s="26">
        <v>1</v>
      </c>
      <c r="AC179" s="26">
        <v>0</v>
      </c>
    </row>
    <row r="180" spans="1:29" x14ac:dyDescent="0.25">
      <c r="B180" s="25" t="s">
        <v>221</v>
      </c>
      <c r="C180" s="275">
        <v>0.97027248613455508</v>
      </c>
      <c r="D180" s="275">
        <v>2.9727513865444911E-2</v>
      </c>
      <c r="I180" s="12"/>
      <c r="J180" s="12"/>
      <c r="K180" s="12"/>
      <c r="L180" s="12"/>
      <c r="M180" s="12"/>
      <c r="N180" s="12"/>
      <c r="Z180" s="25" t="s">
        <v>128</v>
      </c>
      <c r="AA180" s="26">
        <v>1</v>
      </c>
      <c r="AB180" s="26">
        <v>1</v>
      </c>
      <c r="AC180" s="26">
        <v>1</v>
      </c>
    </row>
    <row r="181" spans="1:29" x14ac:dyDescent="0.25">
      <c r="B181" s="25" t="s">
        <v>73</v>
      </c>
      <c r="C181" s="275">
        <v>0.96361534877727217</v>
      </c>
      <c r="D181" s="275">
        <v>1.8289073264539449E-2</v>
      </c>
      <c r="I181" s="12"/>
      <c r="J181" s="12"/>
      <c r="K181" s="12"/>
      <c r="L181" s="12"/>
      <c r="M181" s="12"/>
      <c r="N181" s="12"/>
      <c r="Z181" s="25" t="s">
        <v>163</v>
      </c>
      <c r="AA181" s="26">
        <v>1</v>
      </c>
      <c r="AB181" s="26">
        <v>1</v>
      </c>
      <c r="AC181" s="26">
        <v>1</v>
      </c>
    </row>
    <row r="182" spans="1:29" x14ac:dyDescent="0.25">
      <c r="B182"/>
      <c r="C182"/>
      <c r="I182" s="12"/>
      <c r="J182" s="12"/>
      <c r="K182" s="12"/>
      <c r="L182" s="12"/>
      <c r="M182" s="12"/>
      <c r="N182" s="12"/>
      <c r="Z182" s="25" t="s">
        <v>314</v>
      </c>
      <c r="AA182" s="26">
        <v>1</v>
      </c>
      <c r="AB182" s="26">
        <v>1</v>
      </c>
      <c r="AC182" s="26">
        <v>1</v>
      </c>
    </row>
    <row r="183" spans="1:29" x14ac:dyDescent="0.25">
      <c r="B183"/>
      <c r="C183"/>
      <c r="I183" s="12"/>
      <c r="J183" s="12"/>
      <c r="K183" s="12"/>
      <c r="L183" s="12"/>
      <c r="M183" s="12"/>
      <c r="N183" s="12"/>
      <c r="Z183" s="25" t="s">
        <v>186</v>
      </c>
      <c r="AA183" s="26">
        <v>1</v>
      </c>
      <c r="AB183" s="26">
        <v>1</v>
      </c>
      <c r="AC183" s="26">
        <v>0.42865890998162892</v>
      </c>
    </row>
    <row r="184" spans="1:29" x14ac:dyDescent="0.25">
      <c r="B184"/>
      <c r="C184"/>
      <c r="I184" s="12"/>
      <c r="J184" s="12"/>
      <c r="K184" s="12"/>
      <c r="L184" s="12"/>
      <c r="M184" s="12"/>
      <c r="N184" s="12"/>
      <c r="Z184" s="25" t="s">
        <v>194</v>
      </c>
      <c r="AA184" s="26">
        <v>1</v>
      </c>
      <c r="AB184" s="26">
        <v>0.898876404494382</v>
      </c>
      <c r="AC184" s="26">
        <v>1</v>
      </c>
    </row>
    <row r="185" spans="1:29" x14ac:dyDescent="0.25">
      <c r="B185"/>
      <c r="C185"/>
      <c r="I185" s="12"/>
      <c r="J185" s="12"/>
      <c r="K185" s="12"/>
      <c r="L185" s="12"/>
      <c r="M185" s="12"/>
      <c r="N185" s="12"/>
      <c r="Z185" s="25" t="s">
        <v>214</v>
      </c>
      <c r="AA185" s="26">
        <v>1</v>
      </c>
      <c r="AB185" s="26">
        <v>0.72398190045248867</v>
      </c>
      <c r="AC185" s="26">
        <v>0.90497737556561086</v>
      </c>
    </row>
    <row r="186" spans="1:29" x14ac:dyDescent="0.25">
      <c r="B186"/>
      <c r="C186"/>
      <c r="D186"/>
      <c r="I186" s="12"/>
      <c r="J186" s="12"/>
      <c r="K186" s="12"/>
      <c r="L186" s="12"/>
      <c r="M186" s="12"/>
      <c r="N186" s="12"/>
      <c r="Z186" s="25" t="s">
        <v>144</v>
      </c>
      <c r="AA186" s="26">
        <v>1</v>
      </c>
      <c r="AB186" s="26">
        <v>1</v>
      </c>
      <c r="AC186" s="26">
        <v>1</v>
      </c>
    </row>
    <row r="187" spans="1:29" x14ac:dyDescent="0.25">
      <c r="B187"/>
      <c r="C187"/>
      <c r="D187"/>
      <c r="I187" s="12"/>
      <c r="J187" s="12"/>
      <c r="K187" s="12"/>
      <c r="L187" s="12"/>
      <c r="M187" s="12"/>
      <c r="N187" s="12"/>
      <c r="Z187" s="25" t="s">
        <v>612</v>
      </c>
      <c r="AA187" s="26">
        <v>1</v>
      </c>
      <c r="AB187" s="26">
        <v>1</v>
      </c>
      <c r="AC187" s="26">
        <v>0.14903129657228018</v>
      </c>
    </row>
    <row r="188" spans="1:29" ht="21" x14ac:dyDescent="0.25">
      <c r="B188" s="264" t="s">
        <v>94</v>
      </c>
      <c r="C188" s="281"/>
      <c r="D188" s="32"/>
      <c r="E188" s="32"/>
      <c r="F188" s="32"/>
      <c r="G188" s="32"/>
      <c r="H188" s="32"/>
      <c r="I188" s="32"/>
      <c r="J188" s="32"/>
      <c r="K188" s="32"/>
      <c r="L188" s="32"/>
      <c r="M188" s="32"/>
      <c r="N188" s="33"/>
      <c r="Z188" s="25" t="s">
        <v>611</v>
      </c>
      <c r="AA188" s="26">
        <v>1</v>
      </c>
      <c r="AB188" s="26">
        <v>1</v>
      </c>
      <c r="AC188" s="26">
        <v>1</v>
      </c>
    </row>
    <row r="189" spans="1:29" ht="21" x14ac:dyDescent="0.25">
      <c r="B189" s="283"/>
      <c r="C189" s="283"/>
      <c r="D189" s="284"/>
      <c r="E189" s="284"/>
      <c r="F189" s="284"/>
      <c r="G189" s="284"/>
      <c r="H189" s="284"/>
      <c r="I189" s="284"/>
      <c r="J189" s="284"/>
      <c r="K189" s="284"/>
      <c r="L189" s="284"/>
      <c r="M189" s="284"/>
      <c r="N189" s="284"/>
      <c r="Z189" s="25" t="s">
        <v>610</v>
      </c>
      <c r="AA189" s="26">
        <v>1</v>
      </c>
      <c r="AB189" s="26">
        <v>1</v>
      </c>
      <c r="AC189" s="26">
        <v>0.74349442379182151</v>
      </c>
    </row>
    <row r="190" spans="1:29" ht="18.75" x14ac:dyDescent="0.25">
      <c r="B190" s="28" t="s">
        <v>3</v>
      </c>
      <c r="C190" t="s">
        <v>74</v>
      </c>
      <c r="D190" s="284"/>
      <c r="E190" s="284"/>
      <c r="F190" s="284"/>
      <c r="G190" s="284"/>
      <c r="H190" s="284"/>
      <c r="I190" s="284"/>
      <c r="J190" s="284"/>
      <c r="K190" s="284"/>
      <c r="L190" s="284"/>
      <c r="M190" s="284"/>
      <c r="N190" s="284"/>
      <c r="Z190" s="25" t="s">
        <v>282</v>
      </c>
      <c r="AA190" s="26">
        <v>1</v>
      </c>
      <c r="AB190" s="26">
        <v>0.99071207430340558</v>
      </c>
      <c r="AC190" s="26">
        <v>0.61919504643962853</v>
      </c>
    </row>
    <row r="191" spans="1:29" ht="15.75" customHeight="1" x14ac:dyDescent="0.25">
      <c r="B191" s="28" t="s">
        <v>285</v>
      </c>
      <c r="C191" t="s">
        <v>74</v>
      </c>
      <c r="F191"/>
      <c r="Z191" s="25" t="s">
        <v>656</v>
      </c>
      <c r="AA191" s="26">
        <v>1</v>
      </c>
      <c r="AB191" s="26">
        <v>1</v>
      </c>
      <c r="AC191" s="26">
        <v>1</v>
      </c>
    </row>
    <row r="192" spans="1:29" ht="15.75" customHeight="1" x14ac:dyDescent="0.25">
      <c r="B192" s="28" t="s">
        <v>809</v>
      </c>
      <c r="C192" t="s">
        <v>261</v>
      </c>
      <c r="F192"/>
      <c r="Z192" s="25" t="s">
        <v>120</v>
      </c>
      <c r="AA192" s="26">
        <v>1</v>
      </c>
      <c r="AB192" s="26">
        <v>1</v>
      </c>
      <c r="AC192" s="26">
        <v>1</v>
      </c>
    </row>
    <row r="193" spans="2:29" x14ac:dyDescent="0.25">
      <c r="F193"/>
      <c r="Z193" s="25" t="s">
        <v>774</v>
      </c>
      <c r="AA193" s="26">
        <v>1</v>
      </c>
      <c r="AB193" s="26">
        <v>0.81491344873501992</v>
      </c>
      <c r="AC193" s="26">
        <v>0.29294274300932088</v>
      </c>
    </row>
    <row r="194" spans="2:29" x14ac:dyDescent="0.25">
      <c r="B194" s="28" t="s">
        <v>631</v>
      </c>
      <c r="C194" s="28" t="s">
        <v>248</v>
      </c>
      <c r="D194"/>
      <c r="E194"/>
      <c r="F194"/>
      <c r="Z194" s="25" t="s">
        <v>121</v>
      </c>
      <c r="AA194" s="26">
        <v>1</v>
      </c>
      <c r="AB194" s="26">
        <v>1</v>
      </c>
      <c r="AC194" s="26">
        <v>1</v>
      </c>
    </row>
    <row r="195" spans="2:29" x14ac:dyDescent="0.25">
      <c r="B195" s="28" t="s">
        <v>236</v>
      </c>
      <c r="C195" s="278" t="s">
        <v>213</v>
      </c>
      <c r="D195" s="278" t="s">
        <v>221</v>
      </c>
      <c r="E195" s="278" t="s">
        <v>73</v>
      </c>
      <c r="F195"/>
      <c r="Z195" s="25" t="s">
        <v>145</v>
      </c>
      <c r="AA195" s="26">
        <v>1</v>
      </c>
      <c r="AB195" s="26">
        <v>0.75376884422110557</v>
      </c>
      <c r="AC195" s="26">
        <v>0.50251256281407031</v>
      </c>
    </row>
    <row r="196" spans="2:29" x14ac:dyDescent="0.25">
      <c r="B196" s="25" t="s">
        <v>175</v>
      </c>
      <c r="C196" s="268">
        <v>177.3</v>
      </c>
      <c r="D196" s="268"/>
      <c r="E196" s="268">
        <v>177.3</v>
      </c>
      <c r="F196"/>
      <c r="Z196" s="25" t="s">
        <v>146</v>
      </c>
      <c r="AA196" s="26">
        <v>1</v>
      </c>
      <c r="AB196" s="26">
        <v>1</v>
      </c>
      <c r="AC196" s="26">
        <v>1</v>
      </c>
    </row>
    <row r="197" spans="2:29" x14ac:dyDescent="0.25">
      <c r="B197" s="25" t="s">
        <v>104</v>
      </c>
      <c r="C197" s="268">
        <v>29.700000000000003</v>
      </c>
      <c r="D197" s="268">
        <v>41</v>
      </c>
      <c r="E197" s="268">
        <v>70.7</v>
      </c>
      <c r="F197"/>
      <c r="Z197" s="25" t="s">
        <v>196</v>
      </c>
      <c r="AA197" s="26">
        <v>1</v>
      </c>
      <c r="AB197" s="26">
        <v>0.98039215686274506</v>
      </c>
      <c r="AC197" s="26">
        <v>1</v>
      </c>
    </row>
    <row r="198" spans="2:29" x14ac:dyDescent="0.25">
      <c r="B198" s="25" t="s">
        <v>107</v>
      </c>
      <c r="C198" s="268">
        <v>45.250000000000007</v>
      </c>
      <c r="D198" s="268"/>
      <c r="E198" s="268">
        <v>45.250000000000007</v>
      </c>
      <c r="F198"/>
      <c r="Z198" s="25" t="s">
        <v>197</v>
      </c>
      <c r="AA198" s="26">
        <v>1</v>
      </c>
      <c r="AB198" s="26">
        <v>1</v>
      </c>
      <c r="AC198" s="26">
        <v>1</v>
      </c>
    </row>
    <row r="199" spans="2:29" x14ac:dyDescent="0.25">
      <c r="B199" s="25" t="s">
        <v>124</v>
      </c>
      <c r="C199" s="268">
        <v>0.85</v>
      </c>
      <c r="D199" s="268"/>
      <c r="E199" s="268">
        <v>0.85</v>
      </c>
      <c r="F199"/>
      <c r="Z199" s="25" t="s">
        <v>147</v>
      </c>
      <c r="AA199" s="26">
        <v>1</v>
      </c>
      <c r="AB199" s="26">
        <v>0.76555023923444976</v>
      </c>
      <c r="AC199" s="26">
        <v>0.4784688995215311</v>
      </c>
    </row>
    <row r="200" spans="2:29" x14ac:dyDescent="0.25">
      <c r="B200" s="25" t="s">
        <v>200</v>
      </c>
      <c r="C200" s="268">
        <v>221.90000000000003</v>
      </c>
      <c r="D200" s="268"/>
      <c r="E200" s="268">
        <v>221.90000000000003</v>
      </c>
      <c r="F200"/>
      <c r="Z200" s="25" t="s">
        <v>130</v>
      </c>
      <c r="AA200" s="26">
        <v>1</v>
      </c>
      <c r="AB200" s="26">
        <v>1</v>
      </c>
      <c r="AC200" s="26">
        <v>1</v>
      </c>
    </row>
    <row r="201" spans="2:29" x14ac:dyDescent="0.25">
      <c r="B201" s="25" t="s">
        <v>181</v>
      </c>
      <c r="C201" s="268">
        <v>227.30000000000004</v>
      </c>
      <c r="D201" s="268">
        <v>83.050000000000011</v>
      </c>
      <c r="E201" s="268">
        <v>310.35000000000002</v>
      </c>
      <c r="F201"/>
      <c r="Z201" s="25" t="s">
        <v>179</v>
      </c>
      <c r="AA201" s="26">
        <v>1</v>
      </c>
      <c r="AB201" s="26">
        <v>1</v>
      </c>
      <c r="AC201" s="26">
        <v>1</v>
      </c>
    </row>
    <row r="202" spans="2:29" x14ac:dyDescent="0.25">
      <c r="B202" s="25" t="s">
        <v>182</v>
      </c>
      <c r="C202" s="268">
        <v>16.100000000000001</v>
      </c>
      <c r="D202" s="268"/>
      <c r="E202" s="268">
        <v>16.100000000000001</v>
      </c>
      <c r="F202"/>
      <c r="Z202" s="25" t="s">
        <v>603</v>
      </c>
      <c r="AA202" s="26">
        <v>1</v>
      </c>
      <c r="AB202" s="26">
        <v>0.95522388059701491</v>
      </c>
      <c r="AC202" s="26">
        <v>1</v>
      </c>
    </row>
    <row r="203" spans="2:29" x14ac:dyDescent="0.25">
      <c r="B203" s="25" t="s">
        <v>220</v>
      </c>
      <c r="C203" s="268">
        <v>6.65</v>
      </c>
      <c r="D203" s="268"/>
      <c r="E203" s="268">
        <v>6.65</v>
      </c>
      <c r="F203"/>
      <c r="Z203" s="25" t="s">
        <v>148</v>
      </c>
      <c r="AA203" s="26">
        <v>1</v>
      </c>
      <c r="AB203" s="26">
        <v>0.69620253164556967</v>
      </c>
      <c r="AC203" s="26">
        <v>0.63291139240506333</v>
      </c>
    </row>
    <row r="204" spans="2:29" x14ac:dyDescent="0.25">
      <c r="B204" s="25" t="s">
        <v>129</v>
      </c>
      <c r="C204" s="268">
        <v>4.6500000000000004</v>
      </c>
      <c r="D204" s="268"/>
      <c r="E204" s="268">
        <v>4.6500000000000004</v>
      </c>
      <c r="F204"/>
      <c r="Z204" s="25" t="s">
        <v>150</v>
      </c>
      <c r="AA204" s="26">
        <v>1</v>
      </c>
      <c r="AB204" s="26">
        <v>1</v>
      </c>
      <c r="AC204" s="26">
        <v>1</v>
      </c>
    </row>
    <row r="205" spans="2:29" x14ac:dyDescent="0.25">
      <c r="B205" s="25" t="s">
        <v>183</v>
      </c>
      <c r="C205" s="268">
        <v>150.15000000000003</v>
      </c>
      <c r="D205" s="268">
        <v>81.8</v>
      </c>
      <c r="E205" s="268">
        <v>231.95000000000005</v>
      </c>
      <c r="F205"/>
      <c r="Z205" s="25" t="s">
        <v>151</v>
      </c>
      <c r="AA205" s="26">
        <v>1</v>
      </c>
      <c r="AB205" s="26">
        <v>0.92715231788079466</v>
      </c>
      <c r="AC205" s="26">
        <v>1</v>
      </c>
    </row>
    <row r="206" spans="2:29" x14ac:dyDescent="0.25">
      <c r="B206" s="25" t="s">
        <v>209</v>
      </c>
      <c r="C206" s="268">
        <v>8.35</v>
      </c>
      <c r="D206" s="268">
        <v>42.3</v>
      </c>
      <c r="E206" s="268">
        <v>50.65</v>
      </c>
      <c r="F206"/>
      <c r="Z206" s="25" t="s">
        <v>152</v>
      </c>
      <c r="AA206" s="26">
        <v>1</v>
      </c>
      <c r="AB206" s="26">
        <v>0.898876404494382</v>
      </c>
      <c r="AC206" s="26">
        <v>0.5617977528089888</v>
      </c>
    </row>
    <row r="207" spans="2:29" x14ac:dyDescent="0.25">
      <c r="B207" s="25" t="s">
        <v>131</v>
      </c>
      <c r="C207" s="268">
        <v>47.4</v>
      </c>
      <c r="D207" s="268"/>
      <c r="E207" s="268">
        <v>47.4</v>
      </c>
      <c r="F207"/>
      <c r="Z207" s="25" t="s">
        <v>122</v>
      </c>
      <c r="AA207" s="26">
        <v>1</v>
      </c>
      <c r="AB207" s="26">
        <v>0.84210526315789469</v>
      </c>
      <c r="AC207" s="26">
        <v>1</v>
      </c>
    </row>
    <row r="208" spans="2:29" x14ac:dyDescent="0.25">
      <c r="B208" s="25" t="s">
        <v>460</v>
      </c>
      <c r="C208" s="268">
        <v>63.75</v>
      </c>
      <c r="D208" s="268"/>
      <c r="E208" s="268">
        <v>63.75</v>
      </c>
      <c r="F208"/>
      <c r="Z208" s="25" t="s">
        <v>153</v>
      </c>
      <c r="AA208" s="26">
        <v>1</v>
      </c>
      <c r="AB208" s="26">
        <v>1</v>
      </c>
      <c r="AC208" s="26">
        <v>1</v>
      </c>
    </row>
    <row r="209" spans="2:29" x14ac:dyDescent="0.25">
      <c r="B209" s="25" t="s">
        <v>227</v>
      </c>
      <c r="C209" s="268">
        <v>0.95</v>
      </c>
      <c r="D209" s="268">
        <v>22.3</v>
      </c>
      <c r="E209" s="268">
        <v>23.25</v>
      </c>
      <c r="F209"/>
      <c r="Z209" s="25" t="s">
        <v>180</v>
      </c>
      <c r="AA209" s="26">
        <v>1</v>
      </c>
      <c r="AB209" s="26">
        <v>1</v>
      </c>
      <c r="AC209" s="26">
        <v>1</v>
      </c>
    </row>
    <row r="210" spans="2:29" x14ac:dyDescent="0.25">
      <c r="B210" s="25" t="s">
        <v>219</v>
      </c>
      <c r="C210" s="268">
        <v>5.8000000000000007</v>
      </c>
      <c r="D210" s="268"/>
      <c r="E210" s="268">
        <v>5.8000000000000007</v>
      </c>
      <c r="F210"/>
      <c r="Z210" s="25" t="s">
        <v>123</v>
      </c>
      <c r="AA210" s="26">
        <v>1</v>
      </c>
      <c r="AB210" s="26">
        <v>0.50632911392405067</v>
      </c>
      <c r="AC210" s="26">
        <v>0</v>
      </c>
    </row>
    <row r="211" spans="2:29" x14ac:dyDescent="0.25">
      <c r="B211" s="25" t="s">
        <v>218</v>
      </c>
      <c r="C211" s="268">
        <v>12.200000000000001</v>
      </c>
      <c r="D211" s="268">
        <v>0.39999999999999991</v>
      </c>
      <c r="E211" s="268">
        <v>12.600000000000001</v>
      </c>
      <c r="F211"/>
      <c r="Z211" s="25" t="s">
        <v>208</v>
      </c>
      <c r="AA211" s="26">
        <v>1</v>
      </c>
      <c r="AB211" s="26">
        <v>1</v>
      </c>
      <c r="AC211" s="26">
        <v>0</v>
      </c>
    </row>
    <row r="212" spans="2:29" x14ac:dyDescent="0.25">
      <c r="B212" s="25" t="s">
        <v>910</v>
      </c>
      <c r="C212" s="268">
        <v>43</v>
      </c>
      <c r="D212" s="268"/>
      <c r="E212" s="268">
        <v>43</v>
      </c>
      <c r="F212"/>
      <c r="Z212" s="25" t="s">
        <v>706</v>
      </c>
      <c r="AA212" s="26">
        <v>1</v>
      </c>
      <c r="AB212" s="26">
        <v>1</v>
      </c>
      <c r="AC212" s="26">
        <v>1</v>
      </c>
    </row>
    <row r="213" spans="2:29" x14ac:dyDescent="0.25">
      <c r="B213" s="25" t="s">
        <v>154</v>
      </c>
      <c r="C213" s="268">
        <v>56.95</v>
      </c>
      <c r="D213" s="268">
        <v>235.54999999999998</v>
      </c>
      <c r="E213" s="268">
        <v>292.5</v>
      </c>
      <c r="F213"/>
      <c r="Z213" s="25" t="s">
        <v>714</v>
      </c>
      <c r="AA213" s="26">
        <v>1</v>
      </c>
      <c r="AB213" s="26">
        <v>0.34334763948497854</v>
      </c>
      <c r="AC213" s="26">
        <v>0.42918454935622319</v>
      </c>
    </row>
    <row r="214" spans="2:29" x14ac:dyDescent="0.25">
      <c r="B214" s="25" t="s">
        <v>712</v>
      </c>
      <c r="C214" s="268">
        <v>17.2</v>
      </c>
      <c r="D214" s="268"/>
      <c r="E214" s="268">
        <v>17.2</v>
      </c>
      <c r="F214"/>
      <c r="Z214" s="25" t="s">
        <v>715</v>
      </c>
      <c r="AA214" s="26">
        <v>1</v>
      </c>
      <c r="AB214" s="26">
        <v>0.80645161290322576</v>
      </c>
      <c r="AC214" s="26">
        <v>0.80645161290322576</v>
      </c>
    </row>
    <row r="215" spans="2:29" x14ac:dyDescent="0.25">
      <c r="B215" s="25" t="s">
        <v>73</v>
      </c>
      <c r="C215" s="268">
        <v>1135.4500000000003</v>
      </c>
      <c r="D215" s="268">
        <v>506.4</v>
      </c>
      <c r="E215" s="268">
        <v>1641.8500000000001</v>
      </c>
      <c r="F215"/>
      <c r="Z215" s="25" t="s">
        <v>718</v>
      </c>
      <c r="AA215" s="26">
        <v>1</v>
      </c>
      <c r="AB215" s="26">
        <v>0.48484848484848486</v>
      </c>
      <c r="AC215" s="26">
        <v>0</v>
      </c>
    </row>
    <row r="216" spans="2:29" x14ac:dyDescent="0.25">
      <c r="B216"/>
      <c r="C216"/>
      <c r="D216"/>
      <c r="E216"/>
      <c r="F216"/>
      <c r="Z216" s="25" t="s">
        <v>761</v>
      </c>
      <c r="AA216" s="26">
        <v>1</v>
      </c>
      <c r="AB216" s="26">
        <v>1</v>
      </c>
      <c r="AC216" s="26">
        <v>0.64516129032258063</v>
      </c>
    </row>
    <row r="217" spans="2:29" x14ac:dyDescent="0.25">
      <c r="B217"/>
      <c r="C217"/>
      <c r="D217"/>
      <c r="E217"/>
      <c r="F217"/>
      <c r="Z217" s="25" t="s">
        <v>763</v>
      </c>
      <c r="AA217" s="26">
        <v>1</v>
      </c>
      <c r="AB217" s="26">
        <v>0.82949308755760365</v>
      </c>
      <c r="AC217" s="26">
        <v>0</v>
      </c>
    </row>
    <row r="218" spans="2:29" x14ac:dyDescent="0.25">
      <c r="B218" s="28" t="s">
        <v>3</v>
      </c>
      <c r="C218" t="s">
        <v>74</v>
      </c>
      <c r="E218" s="16"/>
      <c r="F218" s="13"/>
      <c r="Z218" s="25" t="s">
        <v>767</v>
      </c>
      <c r="AA218" s="26">
        <v>1</v>
      </c>
      <c r="AB218" s="26">
        <v>1</v>
      </c>
      <c r="AC218" s="26">
        <v>1</v>
      </c>
    </row>
    <row r="219" spans="2:29" x14ac:dyDescent="0.25">
      <c r="B219" s="28" t="s">
        <v>285</v>
      </c>
      <c r="C219" t="s">
        <v>74</v>
      </c>
      <c r="F219" s="13"/>
      <c r="Z219" s="25" t="s">
        <v>769</v>
      </c>
      <c r="AA219" s="26">
        <v>1</v>
      </c>
      <c r="AB219" s="26">
        <v>1</v>
      </c>
      <c r="AC219" s="26">
        <v>0</v>
      </c>
    </row>
    <row r="220" spans="2:29" x14ac:dyDescent="0.25">
      <c r="F220" s="13"/>
      <c r="Z220" s="25" t="s">
        <v>723</v>
      </c>
      <c r="AA220" s="26">
        <v>1</v>
      </c>
      <c r="AB220" s="26">
        <v>1</v>
      </c>
      <c r="AC220" s="26">
        <v>0</v>
      </c>
    </row>
    <row r="221" spans="2:29" x14ac:dyDescent="0.25">
      <c r="B221" s="28" t="s">
        <v>631</v>
      </c>
      <c r="C221" s="28" t="s">
        <v>248</v>
      </c>
      <c r="D221"/>
      <c r="E221"/>
      <c r="F221"/>
      <c r="G221"/>
      <c r="H221"/>
      <c r="I221"/>
      <c r="J221"/>
      <c r="K221"/>
      <c r="L221"/>
      <c r="M221"/>
      <c r="Z221" s="25" t="s">
        <v>920</v>
      </c>
      <c r="AA221" s="26">
        <v>0</v>
      </c>
      <c r="AB221" s="26">
        <v>0.39381153305203936</v>
      </c>
      <c r="AC221" s="26">
        <v>0</v>
      </c>
    </row>
    <row r="222" spans="2:29" x14ac:dyDescent="0.25">
      <c r="B222" s="28" t="s">
        <v>236</v>
      </c>
      <c r="C222" s="278" t="s">
        <v>256</v>
      </c>
      <c r="D222" s="278" t="s">
        <v>313</v>
      </c>
      <c r="E222" s="278" t="s">
        <v>257</v>
      </c>
      <c r="F222" s="278" t="s">
        <v>258</v>
      </c>
      <c r="G222" s="278" t="s">
        <v>259</v>
      </c>
      <c r="H222" s="278" t="s">
        <v>260</v>
      </c>
      <c r="I222" s="278" t="s">
        <v>265</v>
      </c>
      <c r="J222" s="278" t="s">
        <v>266</v>
      </c>
      <c r="K222" s="278" t="s">
        <v>267</v>
      </c>
      <c r="L222" s="278" t="s">
        <v>268</v>
      </c>
      <c r="M222" s="278" t="s">
        <v>73</v>
      </c>
      <c r="Z222" s="25" t="s">
        <v>921</v>
      </c>
      <c r="AA222" s="26">
        <v>0</v>
      </c>
      <c r="AB222" s="26">
        <v>0.20449897750511248</v>
      </c>
      <c r="AC222" s="26">
        <v>0</v>
      </c>
    </row>
    <row r="223" spans="2:29" x14ac:dyDescent="0.25">
      <c r="B223" s="25" t="s">
        <v>213</v>
      </c>
      <c r="C223" s="268">
        <v>45.250000000000007</v>
      </c>
      <c r="D223" s="268">
        <v>84.850000000000009</v>
      </c>
      <c r="E223" s="268">
        <v>104.35</v>
      </c>
      <c r="F223" s="268">
        <v>11.3</v>
      </c>
      <c r="G223" s="268">
        <v>313.75</v>
      </c>
      <c r="H223" s="268"/>
      <c r="I223" s="268">
        <v>47.699999999999996</v>
      </c>
      <c r="J223" s="268">
        <v>277.60000000000002</v>
      </c>
      <c r="K223" s="268">
        <v>239.10000000000002</v>
      </c>
      <c r="L223" s="268">
        <v>17.05</v>
      </c>
      <c r="M223" s="268">
        <v>1140.95</v>
      </c>
      <c r="Z223" s="25" t="s">
        <v>936</v>
      </c>
      <c r="AA223" s="26">
        <v>1</v>
      </c>
      <c r="AB223" s="26">
        <v>0.37209302325581395</v>
      </c>
      <c r="AC223" s="26">
        <v>0</v>
      </c>
    </row>
    <row r="224" spans="2:29" x14ac:dyDescent="0.25">
      <c r="B224" s="25" t="s">
        <v>221</v>
      </c>
      <c r="C224" s="268"/>
      <c r="D224" s="268">
        <v>41</v>
      </c>
      <c r="E224" s="268"/>
      <c r="F224" s="268"/>
      <c r="G224" s="268">
        <v>0.39999999999999991</v>
      </c>
      <c r="H224" s="268">
        <v>235.54999999999998</v>
      </c>
      <c r="I224" s="268">
        <v>164.85000000000005</v>
      </c>
      <c r="J224" s="268">
        <v>42.3</v>
      </c>
      <c r="K224" s="268"/>
      <c r="L224" s="268">
        <v>22.3</v>
      </c>
      <c r="M224" s="268">
        <v>506.40000000000009</v>
      </c>
      <c r="Z224" s="25" t="s">
        <v>73</v>
      </c>
      <c r="AA224" s="26">
        <v>0.96361534877727217</v>
      </c>
      <c r="AB224" s="26">
        <v>0.89022214292086721</v>
      </c>
      <c r="AC224" s="26">
        <v>0.55555059922086414</v>
      </c>
    </row>
    <row r="225" spans="1:29" x14ac:dyDescent="0.25">
      <c r="B225" s="25" t="s">
        <v>73</v>
      </c>
      <c r="C225" s="268">
        <v>45.250000000000007</v>
      </c>
      <c r="D225" s="268">
        <v>125.85000000000001</v>
      </c>
      <c r="E225" s="268">
        <v>104.35</v>
      </c>
      <c r="F225" s="268">
        <v>11.3</v>
      </c>
      <c r="G225" s="268">
        <v>314.14999999999998</v>
      </c>
      <c r="H225" s="268">
        <v>235.54999999999998</v>
      </c>
      <c r="I225" s="268">
        <v>212.55000000000004</v>
      </c>
      <c r="J225" s="268">
        <v>319.90000000000003</v>
      </c>
      <c r="K225" s="268">
        <v>239.10000000000002</v>
      </c>
      <c r="L225" s="268">
        <v>39.35</v>
      </c>
      <c r="M225" s="268">
        <v>1647.3500000000001</v>
      </c>
      <c r="Z225"/>
      <c r="AA225"/>
      <c r="AB225"/>
      <c r="AC225"/>
    </row>
    <row r="226" spans="1:29" x14ac:dyDescent="0.25">
      <c r="B226"/>
      <c r="C226"/>
      <c r="D226"/>
      <c r="E226"/>
      <c r="F226"/>
      <c r="G226"/>
      <c r="H226"/>
      <c r="I226"/>
      <c r="J226"/>
      <c r="K226"/>
      <c r="L226"/>
      <c r="M226"/>
      <c r="Z226"/>
      <c r="AA226"/>
      <c r="AB226"/>
      <c r="AC226"/>
    </row>
    <row r="227" spans="1:29" x14ac:dyDescent="0.25">
      <c r="B227"/>
      <c r="C227"/>
      <c r="D227"/>
      <c r="E227"/>
      <c r="F227" s="13"/>
      <c r="Z227"/>
      <c r="AA227"/>
      <c r="AB227"/>
      <c r="AC227"/>
    </row>
    <row r="228" spans="1:29" x14ac:dyDescent="0.25">
      <c r="B228"/>
      <c r="C228"/>
      <c r="D228"/>
      <c r="E228"/>
      <c r="F228" s="13"/>
      <c r="Z228"/>
      <c r="AA228"/>
      <c r="AB228"/>
      <c r="AC228"/>
    </row>
    <row r="229" spans="1:29" x14ac:dyDescent="0.25">
      <c r="B229"/>
      <c r="C229"/>
      <c r="D229"/>
      <c r="E229"/>
      <c r="F229" s="13"/>
      <c r="Z229"/>
      <c r="AA229"/>
      <c r="AB229"/>
      <c r="AC229"/>
    </row>
    <row r="230" spans="1:29" x14ac:dyDescent="0.25">
      <c r="B230"/>
      <c r="C230"/>
      <c r="D230"/>
      <c r="E230"/>
      <c r="F230" s="13"/>
      <c r="Z230"/>
      <c r="AA230"/>
      <c r="AB230"/>
      <c r="AC230"/>
    </row>
    <row r="231" spans="1:29" x14ac:dyDescent="0.25">
      <c r="B231"/>
      <c r="C231"/>
      <c r="D231"/>
      <c r="E231"/>
      <c r="F231" s="13"/>
      <c r="Z231"/>
      <c r="AA231"/>
      <c r="AB231"/>
      <c r="AC231"/>
    </row>
    <row r="232" spans="1:29" x14ac:dyDescent="0.25">
      <c r="B232"/>
      <c r="C232"/>
      <c r="D232"/>
      <c r="E232"/>
      <c r="F232" s="13"/>
      <c r="Z232"/>
      <c r="AA232"/>
      <c r="AB232"/>
      <c r="AC232"/>
    </row>
    <row r="233" spans="1:29" x14ac:dyDescent="0.25">
      <c r="B233"/>
      <c r="C233"/>
      <c r="D233"/>
      <c r="E233"/>
      <c r="F233" s="13"/>
      <c r="Z233"/>
      <c r="AA233"/>
      <c r="AB233"/>
      <c r="AC233"/>
    </row>
    <row r="234" spans="1:29" x14ac:dyDescent="0.25">
      <c r="B234"/>
      <c r="C234"/>
      <c r="D234"/>
      <c r="E234"/>
      <c r="F234" s="13"/>
      <c r="Z234"/>
      <c r="AA234"/>
      <c r="AB234"/>
      <c r="AC234"/>
    </row>
    <row r="235" spans="1:29" x14ac:dyDescent="0.25">
      <c r="B235"/>
      <c r="C235"/>
      <c r="D235"/>
      <c r="E235"/>
      <c r="F235" s="13"/>
      <c r="Z235"/>
      <c r="AA235"/>
      <c r="AB235"/>
      <c r="AC235"/>
    </row>
    <row r="236" spans="1:29" x14ac:dyDescent="0.25">
      <c r="B236"/>
      <c r="C236"/>
      <c r="D236"/>
      <c r="E236"/>
      <c r="F236" s="13"/>
      <c r="Z236"/>
      <c r="AA236"/>
      <c r="AB236"/>
      <c r="AC236"/>
    </row>
    <row r="237" spans="1:29" x14ac:dyDescent="0.25">
      <c r="B237"/>
      <c r="C237"/>
      <c r="D237"/>
      <c r="E237"/>
      <c r="F237" s="13"/>
      <c r="Z237"/>
      <c r="AA237"/>
      <c r="AB237"/>
      <c r="AC237"/>
    </row>
    <row r="238" spans="1:29" x14ac:dyDescent="0.25">
      <c r="A238" s="12"/>
      <c r="B238"/>
      <c r="C238"/>
      <c r="D238"/>
      <c r="E238"/>
      <c r="F238" s="13"/>
      <c r="O238" s="12"/>
      <c r="Z238"/>
      <c r="AA238"/>
      <c r="AB238"/>
      <c r="AC238"/>
    </row>
    <row r="239" spans="1:29" s="12" customFormat="1" x14ac:dyDescent="0.25">
      <c r="B239"/>
      <c r="C239"/>
      <c r="D239"/>
      <c r="E239"/>
      <c r="F239" s="13"/>
      <c r="G239" s="11"/>
      <c r="H239" s="11"/>
      <c r="I239" s="11"/>
      <c r="J239" s="11"/>
      <c r="K239" s="11"/>
      <c r="L239" s="11"/>
      <c r="M239" s="11"/>
      <c r="N239" s="11"/>
      <c r="Z239"/>
      <c r="AA239"/>
      <c r="AB239"/>
      <c r="AC239"/>
    </row>
    <row r="240" spans="1:29" s="12" customFormat="1" x14ac:dyDescent="0.25">
      <c r="B240"/>
      <c r="C240"/>
      <c r="D240"/>
      <c r="E240"/>
      <c r="F240" s="13"/>
      <c r="G240" s="11"/>
      <c r="H240" s="11"/>
      <c r="I240" s="11"/>
      <c r="J240" s="11"/>
      <c r="K240" s="11"/>
      <c r="L240" s="11"/>
      <c r="M240" s="11"/>
      <c r="N240" s="11"/>
      <c r="Z240"/>
      <c r="AA240"/>
      <c r="AB240"/>
      <c r="AC240"/>
    </row>
    <row r="241" spans="2:29" s="12" customFormat="1" x14ac:dyDescent="0.25">
      <c r="B241"/>
      <c r="C241"/>
      <c r="D241"/>
      <c r="E241"/>
      <c r="F241" s="13"/>
      <c r="G241" s="11"/>
      <c r="H241" s="11"/>
      <c r="I241" s="11"/>
      <c r="J241" s="11"/>
      <c r="K241" s="11"/>
      <c r="L241" s="11"/>
      <c r="M241" s="11"/>
      <c r="N241" s="11"/>
      <c r="Z241"/>
      <c r="AA241"/>
      <c r="AB241"/>
      <c r="AC241"/>
    </row>
    <row r="242" spans="2:29" s="12" customFormat="1" x14ac:dyDescent="0.25">
      <c r="B242"/>
      <c r="C242"/>
      <c r="D242"/>
      <c r="E242"/>
      <c r="F242" s="13"/>
      <c r="G242" s="11"/>
      <c r="H242" s="11"/>
      <c r="I242" s="11"/>
      <c r="J242" s="11"/>
      <c r="K242" s="11"/>
      <c r="L242" s="11"/>
      <c r="M242" s="11"/>
      <c r="N242" s="11"/>
      <c r="Z242"/>
      <c r="AA242"/>
      <c r="AB242"/>
      <c r="AC242"/>
    </row>
    <row r="243" spans="2:29" s="12" customFormat="1" x14ac:dyDescent="0.25">
      <c r="B243" s="11"/>
      <c r="C243" s="14"/>
      <c r="D243" s="14"/>
      <c r="E243" s="16"/>
      <c r="F243" s="13"/>
      <c r="G243" s="11"/>
      <c r="H243" s="11"/>
      <c r="I243" s="11"/>
      <c r="J243" s="11"/>
      <c r="K243" s="11"/>
      <c r="L243" s="11"/>
      <c r="M243" s="11"/>
      <c r="N243" s="11"/>
      <c r="Z243"/>
      <c r="AA243"/>
      <c r="AB243"/>
      <c r="AC243"/>
    </row>
    <row r="244" spans="2:29" s="12" customFormat="1" x14ac:dyDescent="0.25">
      <c r="B244" s="11"/>
      <c r="C244" s="14"/>
      <c r="D244" s="14"/>
      <c r="E244" s="16"/>
      <c r="F244" s="13"/>
      <c r="G244" s="11"/>
      <c r="H244" s="11"/>
      <c r="I244" s="11"/>
      <c r="J244" s="11"/>
      <c r="K244" s="11"/>
      <c r="L244" s="11"/>
      <c r="M244" s="11"/>
      <c r="N244" s="11"/>
      <c r="Z244"/>
      <c r="AA244"/>
      <c r="AB244"/>
      <c r="AC244"/>
    </row>
    <row r="245" spans="2:29" s="12" customFormat="1" x14ac:dyDescent="0.25">
      <c r="B245" s="11"/>
      <c r="C245" s="14"/>
      <c r="D245" s="14"/>
      <c r="E245" s="14"/>
      <c r="F245" s="11"/>
      <c r="G245" s="11"/>
      <c r="H245" s="11"/>
      <c r="I245" s="11"/>
      <c r="J245" s="11"/>
      <c r="K245" s="11"/>
      <c r="L245" s="11"/>
      <c r="M245" s="11"/>
      <c r="N245" s="11"/>
      <c r="Z245"/>
      <c r="AA245"/>
      <c r="AB245"/>
      <c r="AC245"/>
    </row>
    <row r="246" spans="2:29" s="12" customFormat="1" x14ac:dyDescent="0.25">
      <c r="B246" s="11"/>
      <c r="C246" s="14"/>
      <c r="D246" s="14"/>
      <c r="E246" s="14"/>
      <c r="F246" s="11"/>
      <c r="G246" s="11"/>
      <c r="H246" s="11"/>
      <c r="I246" s="11"/>
      <c r="J246" s="11"/>
      <c r="K246" s="11"/>
      <c r="L246" s="11"/>
      <c r="M246" s="11"/>
      <c r="N246" s="11"/>
      <c r="Z246"/>
      <c r="AA246"/>
      <c r="AB246"/>
      <c r="AC246"/>
    </row>
    <row r="247" spans="2:29" s="12" customFormat="1" x14ac:dyDescent="0.25">
      <c r="C247" s="16"/>
      <c r="D247" s="29"/>
      <c r="E247" s="15"/>
      <c r="Z247"/>
      <c r="AA247"/>
      <c r="AB247"/>
      <c r="AC247"/>
    </row>
    <row r="248" spans="2:29" s="12" customFormat="1" x14ac:dyDescent="0.25">
      <c r="C248" s="16"/>
      <c r="D248" s="29"/>
      <c r="E248" s="15"/>
      <c r="Z248"/>
      <c r="AA248"/>
      <c r="AB248"/>
      <c r="AC248"/>
    </row>
    <row r="249" spans="2:29" s="12" customFormat="1" x14ac:dyDescent="0.25">
      <c r="B249" s="28" t="s">
        <v>3</v>
      </c>
      <c r="C249" t="s">
        <v>442</v>
      </c>
      <c r="D249" s="29"/>
      <c r="E249" s="15"/>
      <c r="Z249"/>
      <c r="AA249"/>
      <c r="AB249"/>
      <c r="AC249"/>
    </row>
    <row r="250" spans="2:29" s="12" customFormat="1" x14ac:dyDescent="0.25">
      <c r="B250" s="28" t="s">
        <v>285</v>
      </c>
      <c r="C250" t="s">
        <v>74</v>
      </c>
      <c r="D250" s="14"/>
      <c r="E250" s="14"/>
      <c r="Z250"/>
      <c r="AA250"/>
      <c r="AB250"/>
      <c r="AC250"/>
    </row>
    <row r="251" spans="2:29" s="12" customFormat="1" x14ac:dyDescent="0.25">
      <c r="B251" s="11"/>
      <c r="C251" s="14"/>
      <c r="D251" s="14"/>
      <c r="E251" s="14"/>
      <c r="Z251"/>
      <c r="AA251"/>
      <c r="AB251"/>
      <c r="AC251"/>
    </row>
    <row r="252" spans="2:29" s="12" customFormat="1" ht="45" x14ac:dyDescent="0.25">
      <c r="B252" s="269" t="s">
        <v>236</v>
      </c>
      <c r="C252" s="276" t="s">
        <v>645</v>
      </c>
      <c r="D252" s="276" t="s">
        <v>646</v>
      </c>
      <c r="E252" s="279"/>
    </row>
    <row r="253" spans="2:29" s="12" customFormat="1" x14ac:dyDescent="0.25">
      <c r="B253" s="25" t="s">
        <v>175</v>
      </c>
      <c r="C253" s="265">
        <v>0.60798054919908462</v>
      </c>
      <c r="D253" s="265">
        <v>0.21209954233409611</v>
      </c>
      <c r="E253"/>
    </row>
    <row r="254" spans="2:29" s="12" customFormat="1" x14ac:dyDescent="0.25">
      <c r="B254" s="25" t="s">
        <v>104</v>
      </c>
      <c r="C254" s="265">
        <v>0.43842168194499803</v>
      </c>
      <c r="D254" s="265">
        <v>0.47030689517736152</v>
      </c>
      <c r="E254"/>
    </row>
    <row r="255" spans="2:29" s="12" customFormat="1" x14ac:dyDescent="0.25">
      <c r="B255" s="25" t="s">
        <v>107</v>
      </c>
      <c r="C255" s="265">
        <v>0.74840144564915212</v>
      </c>
      <c r="D255" s="265">
        <v>1.0286349735891022E-2</v>
      </c>
      <c r="E255"/>
    </row>
    <row r="256" spans="2:29" s="12" customFormat="1" x14ac:dyDescent="0.25">
      <c r="B256" s="25" t="s">
        <v>124</v>
      </c>
      <c r="C256" s="265">
        <v>0</v>
      </c>
      <c r="D256" s="265">
        <v>0</v>
      </c>
      <c r="E256"/>
    </row>
    <row r="257" spans="1:15" s="12" customFormat="1" x14ac:dyDescent="0.25">
      <c r="B257" s="25" t="s">
        <v>200</v>
      </c>
      <c r="C257" s="265">
        <v>0.18753726893261777</v>
      </c>
      <c r="D257" s="265">
        <v>0.78115682766845562</v>
      </c>
      <c r="E257"/>
    </row>
    <row r="258" spans="1:15" s="12" customFormat="1" x14ac:dyDescent="0.25">
      <c r="B258" s="25" t="s">
        <v>181</v>
      </c>
      <c r="C258" s="265">
        <v>0.67463982268193567</v>
      </c>
      <c r="D258" s="265">
        <v>0.20613224972294053</v>
      </c>
      <c r="E258"/>
    </row>
    <row r="259" spans="1:15" s="12" customFormat="1" x14ac:dyDescent="0.25">
      <c r="B259" s="25" t="s">
        <v>182</v>
      </c>
      <c r="C259" s="265">
        <v>0.2484472049689441</v>
      </c>
      <c r="D259" s="265">
        <v>0.75155279503105588</v>
      </c>
      <c r="E259"/>
    </row>
    <row r="260" spans="1:15" s="12" customFormat="1" x14ac:dyDescent="0.25">
      <c r="B260" s="25" t="s">
        <v>220</v>
      </c>
      <c r="C260" s="265">
        <v>0.79757085020242913</v>
      </c>
      <c r="D260" s="265">
        <v>0.16194331983805668</v>
      </c>
      <c r="E260"/>
    </row>
    <row r="261" spans="1:15" s="12" customFormat="1" x14ac:dyDescent="0.25">
      <c r="B261" s="25" t="s">
        <v>129</v>
      </c>
      <c r="C261" s="265">
        <v>1</v>
      </c>
      <c r="D261" s="265">
        <v>0</v>
      </c>
      <c r="E261"/>
    </row>
    <row r="262" spans="1:15" s="12" customFormat="1" x14ac:dyDescent="0.25">
      <c r="B262" s="25" t="s">
        <v>183</v>
      </c>
      <c r="C262" s="265">
        <v>0.90447100953183424</v>
      </c>
      <c r="D262" s="265">
        <v>6.7618094686397387E-2</v>
      </c>
      <c r="E262"/>
    </row>
    <row r="263" spans="1:15" s="12" customFormat="1" x14ac:dyDescent="0.25">
      <c r="B263" s="25" t="s">
        <v>209</v>
      </c>
      <c r="C263" s="265">
        <v>0.65395095367847411</v>
      </c>
      <c r="D263" s="265">
        <v>0.34604904632152589</v>
      </c>
      <c r="E263"/>
    </row>
    <row r="264" spans="1:15" s="12" customFormat="1" x14ac:dyDescent="0.25">
      <c r="B264" s="25" t="s">
        <v>131</v>
      </c>
      <c r="C264" s="265">
        <v>0.84330578512396692</v>
      </c>
      <c r="D264" s="265">
        <v>3.8181818181818185E-2</v>
      </c>
      <c r="E264"/>
    </row>
    <row r="265" spans="1:15" s="12" customFormat="1" x14ac:dyDescent="0.25">
      <c r="B265" s="25" t="s">
        <v>460</v>
      </c>
      <c r="C265" s="265">
        <v>0.4655847789591494</v>
      </c>
      <c r="D265" s="265">
        <v>0.29099048684946838</v>
      </c>
      <c r="E265"/>
    </row>
    <row r="266" spans="1:15" s="12" customFormat="1" x14ac:dyDescent="0.25">
      <c r="B266" s="25" t="s">
        <v>227</v>
      </c>
      <c r="C266" s="265">
        <v>1</v>
      </c>
      <c r="D266" s="265">
        <v>0</v>
      </c>
      <c r="E266"/>
    </row>
    <row r="267" spans="1:15" s="12" customFormat="1" x14ac:dyDescent="0.25">
      <c r="B267" s="25" t="s">
        <v>219</v>
      </c>
      <c r="C267" s="265">
        <v>0.64516129032258063</v>
      </c>
      <c r="D267" s="265">
        <v>0.35483870967741937</v>
      </c>
      <c r="E267"/>
    </row>
    <row r="268" spans="1:15" s="12" customFormat="1" x14ac:dyDescent="0.25">
      <c r="B268" s="25" t="s">
        <v>218</v>
      </c>
      <c r="C268" s="265">
        <v>0.64189189189189189</v>
      </c>
      <c r="D268" s="265">
        <v>0.33445945945945943</v>
      </c>
      <c r="E268"/>
    </row>
    <row r="269" spans="1:15" s="12" customFormat="1" x14ac:dyDescent="0.25">
      <c r="B269" s="25" t="s">
        <v>910</v>
      </c>
      <c r="C269" s="265">
        <v>0.28333333333333333</v>
      </c>
      <c r="D269" s="265">
        <v>3.3333333333333333E-2</v>
      </c>
      <c r="E269"/>
    </row>
    <row r="270" spans="1:15" s="12" customFormat="1" x14ac:dyDescent="0.25">
      <c r="A270" s="11"/>
      <c r="B270" s="25" t="s">
        <v>154</v>
      </c>
      <c r="C270" s="265">
        <v>0.4193101979987226</v>
      </c>
      <c r="D270" s="265">
        <v>0.46870342771982115</v>
      </c>
      <c r="E270"/>
      <c r="O270" s="11"/>
    </row>
    <row r="271" spans="1:15" x14ac:dyDescent="0.25">
      <c r="B271" s="25" t="s">
        <v>712</v>
      </c>
      <c r="C271" s="265">
        <v>0.34351145038167941</v>
      </c>
      <c r="D271" s="265">
        <v>0.58587786259541985</v>
      </c>
      <c r="E271"/>
      <c r="F271" s="12"/>
      <c r="G271" s="12"/>
      <c r="H271" s="12"/>
      <c r="I271" s="12"/>
      <c r="J271" s="12"/>
      <c r="K271" s="12"/>
      <c r="L271" s="12"/>
      <c r="M271" s="12"/>
      <c r="N271" s="12"/>
    </row>
    <row r="272" spans="1:15" x14ac:dyDescent="0.25">
      <c r="B272" s="25" t="s">
        <v>73</v>
      </c>
      <c r="C272" s="265">
        <v>0.66638415558925868</v>
      </c>
      <c r="D272" s="265">
        <v>0.22383798733160853</v>
      </c>
      <c r="E272"/>
      <c r="F272" s="12"/>
      <c r="G272" s="12"/>
      <c r="H272" s="12"/>
      <c r="I272" s="12"/>
      <c r="J272" s="12"/>
      <c r="K272" s="12"/>
      <c r="L272" s="12"/>
      <c r="M272" s="12"/>
      <c r="N272" s="12"/>
    </row>
    <row r="273" spans="2:14" x14ac:dyDescent="0.25">
      <c r="B273"/>
      <c r="C273"/>
      <c r="D273"/>
      <c r="E273"/>
      <c r="F273" s="12"/>
      <c r="G273" s="12"/>
      <c r="H273" s="12"/>
      <c r="I273" s="12"/>
      <c r="J273" s="12"/>
      <c r="K273" s="12"/>
      <c r="L273" s="12"/>
      <c r="M273" s="12"/>
      <c r="N273" s="12"/>
    </row>
    <row r="274" spans="2:14" x14ac:dyDescent="0.25">
      <c r="B274" s="12"/>
      <c r="C274" s="12"/>
      <c r="D274" s="12"/>
      <c r="E274" s="15"/>
      <c r="F274" s="12"/>
      <c r="G274" s="12"/>
      <c r="H274" s="12"/>
      <c r="I274" s="12"/>
      <c r="J274" s="12"/>
      <c r="K274" s="12"/>
      <c r="L274" s="12"/>
      <c r="M274" s="12"/>
      <c r="N274" s="12"/>
    </row>
    <row r="275" spans="2:14" x14ac:dyDescent="0.25">
      <c r="B275" s="12"/>
      <c r="C275" s="16"/>
      <c r="D275" s="15"/>
      <c r="E275" s="15"/>
      <c r="F275" s="12"/>
      <c r="G275" s="12"/>
      <c r="H275" s="12"/>
      <c r="I275" s="12"/>
      <c r="J275" s="12"/>
      <c r="K275" s="12"/>
      <c r="L275" s="12"/>
      <c r="M275" s="12"/>
      <c r="N275" s="12"/>
    </row>
    <row r="276" spans="2:14" x14ac:dyDescent="0.25">
      <c r="B276" s="12"/>
      <c r="C276" s="16"/>
      <c r="D276" s="15"/>
      <c r="E276" s="15"/>
      <c r="F276" s="12"/>
      <c r="G276" s="12"/>
      <c r="H276" s="12"/>
      <c r="I276" s="12"/>
      <c r="J276" s="12"/>
      <c r="K276" s="12"/>
      <c r="L276" s="12"/>
      <c r="M276" s="12"/>
      <c r="N276" s="12"/>
    </row>
    <row r="277" spans="2:14" x14ac:dyDescent="0.25">
      <c r="B277" s="12"/>
      <c r="C277" s="16"/>
      <c r="D277" s="15"/>
      <c r="E277" s="15"/>
      <c r="F277" s="12"/>
      <c r="G277" s="12"/>
      <c r="H277" s="12"/>
      <c r="I277" s="12"/>
      <c r="J277" s="12"/>
      <c r="K277" s="12"/>
      <c r="L277" s="12"/>
      <c r="M277" s="12"/>
      <c r="N277" s="12"/>
    </row>
    <row r="278" spans="2:14" x14ac:dyDescent="0.25">
      <c r="B278" s="12"/>
      <c r="C278" s="16"/>
      <c r="D278" s="15"/>
      <c r="E278" s="15"/>
      <c r="F278" s="12"/>
      <c r="G278" s="12"/>
      <c r="H278" s="12"/>
      <c r="I278" s="12"/>
      <c r="J278" s="12"/>
      <c r="K278" s="12"/>
      <c r="L278" s="12"/>
      <c r="M278" s="12"/>
      <c r="N278" s="12"/>
    </row>
    <row r="279" spans="2:14" x14ac:dyDescent="0.25">
      <c r="B279" s="28" t="s">
        <v>3</v>
      </c>
      <c r="C279" t="s">
        <v>442</v>
      </c>
    </row>
    <row r="280" spans="2:14" x14ac:dyDescent="0.25">
      <c r="B280" s="28" t="s">
        <v>285</v>
      </c>
      <c r="C280" t="s">
        <v>74</v>
      </c>
    </row>
    <row r="282" spans="2:14" ht="45" x14ac:dyDescent="0.25">
      <c r="B282" s="269" t="s">
        <v>236</v>
      </c>
      <c r="C282" s="276" t="s">
        <v>645</v>
      </c>
      <c r="D282" s="276" t="s">
        <v>653</v>
      </c>
    </row>
    <row r="283" spans="2:14" x14ac:dyDescent="0.25">
      <c r="B283" s="25" t="s">
        <v>256</v>
      </c>
      <c r="C283" s="265">
        <v>0.74840144564915212</v>
      </c>
      <c r="D283" s="265">
        <v>1.0286349735891022E-2</v>
      </c>
    </row>
    <row r="284" spans="2:14" x14ac:dyDescent="0.25">
      <c r="B284" s="25" t="s">
        <v>257</v>
      </c>
      <c r="C284" s="265">
        <v>0.80971918307804525</v>
      </c>
      <c r="D284" s="265">
        <v>2.899343544857768E-2</v>
      </c>
    </row>
    <row r="285" spans="2:14" x14ac:dyDescent="0.25">
      <c r="B285" s="25" t="s">
        <v>258</v>
      </c>
      <c r="C285" s="265">
        <v>0.86945169712793735</v>
      </c>
      <c r="D285" s="265">
        <v>0.10443864229765012</v>
      </c>
    </row>
    <row r="286" spans="2:14" x14ac:dyDescent="0.25">
      <c r="B286" s="25" t="s">
        <v>259</v>
      </c>
      <c r="C286" s="265">
        <v>0.63413185507820236</v>
      </c>
      <c r="D286" s="265">
        <v>0.22490595921599682</v>
      </c>
    </row>
    <row r="287" spans="2:14" x14ac:dyDescent="0.25">
      <c r="B287" s="25" t="s">
        <v>260</v>
      </c>
      <c r="C287" s="265">
        <v>0.71657473075912792</v>
      </c>
      <c r="D287" s="265">
        <v>0.28342526924087208</v>
      </c>
    </row>
    <row r="288" spans="2:14" x14ac:dyDescent="0.25">
      <c r="B288" s="25" t="s">
        <v>265</v>
      </c>
      <c r="C288" s="265">
        <v>0.76419281987384158</v>
      </c>
      <c r="D288" s="265">
        <v>0.16579705630402616</v>
      </c>
    </row>
    <row r="289" spans="2:6" x14ac:dyDescent="0.25">
      <c r="B289" s="25" t="s">
        <v>266</v>
      </c>
      <c r="C289" s="265">
        <v>0.54812286689419798</v>
      </c>
      <c r="D289" s="265">
        <v>0.2462457337883959</v>
      </c>
    </row>
    <row r="290" spans="2:6" x14ac:dyDescent="0.25">
      <c r="B290" s="25" t="s">
        <v>267</v>
      </c>
      <c r="C290" s="265">
        <v>0.20861268695203714</v>
      </c>
      <c r="D290" s="265">
        <v>0.75477050025786485</v>
      </c>
    </row>
    <row r="291" spans="2:6" x14ac:dyDescent="0.25">
      <c r="B291" s="25" t="s">
        <v>268</v>
      </c>
      <c r="C291" s="265">
        <v>0.32963988919667592</v>
      </c>
      <c r="D291" s="265">
        <v>0.67036011080332414</v>
      </c>
    </row>
    <row r="292" spans="2:6" x14ac:dyDescent="0.25">
      <c r="B292" s="25" t="s">
        <v>313</v>
      </c>
      <c r="C292" s="265">
        <v>0.40634291377601583</v>
      </c>
      <c r="D292" s="265">
        <v>0.32953419226957381</v>
      </c>
    </row>
    <row r="293" spans="2:6" x14ac:dyDescent="0.25">
      <c r="B293" s="25" t="s">
        <v>73</v>
      </c>
      <c r="C293" s="265">
        <v>0.66638415558925868</v>
      </c>
      <c r="D293" s="265">
        <v>0.22383798733160853</v>
      </c>
    </row>
    <row r="294" spans="2:6" x14ac:dyDescent="0.25">
      <c r="B294"/>
      <c r="C294"/>
      <c r="D294"/>
    </row>
    <row r="295" spans="2:6" x14ac:dyDescent="0.25">
      <c r="B295"/>
      <c r="C295"/>
      <c r="D295"/>
    </row>
    <row r="296" spans="2:6" x14ac:dyDescent="0.25">
      <c r="E296" s="16"/>
      <c r="F296" s="13"/>
    </row>
    <row r="297" spans="2:6" x14ac:dyDescent="0.25">
      <c r="E297" s="16"/>
      <c r="F297" s="13"/>
    </row>
    <row r="298" spans="2:6" x14ac:dyDescent="0.25">
      <c r="E298" s="16"/>
      <c r="F298" s="13"/>
    </row>
    <row r="299" spans="2:6" x14ac:dyDescent="0.25">
      <c r="E299" s="16"/>
      <c r="F299" s="13"/>
    </row>
    <row r="300" spans="2:6" x14ac:dyDescent="0.25">
      <c r="E300" s="16"/>
      <c r="F300" s="13"/>
    </row>
    <row r="301" spans="2:6" x14ac:dyDescent="0.25">
      <c r="B301" s="28" t="s">
        <v>3</v>
      </c>
      <c r="C301" t="s">
        <v>74</v>
      </c>
      <c r="E301" s="16"/>
      <c r="F301" s="13"/>
    </row>
    <row r="302" spans="2:6" x14ac:dyDescent="0.25">
      <c r="B302" s="28" t="s">
        <v>285</v>
      </c>
      <c r="C302" t="s">
        <v>74</v>
      </c>
      <c r="E302" s="16"/>
      <c r="F302" s="13"/>
    </row>
    <row r="303" spans="2:6" x14ac:dyDescent="0.25">
      <c r="E303" s="16"/>
      <c r="F303" s="13"/>
    </row>
    <row r="304" spans="2:6" ht="45" x14ac:dyDescent="0.25">
      <c r="B304" s="269" t="s">
        <v>236</v>
      </c>
      <c r="C304" s="276" t="s">
        <v>647</v>
      </c>
      <c r="D304" s="276" t="s">
        <v>646</v>
      </c>
      <c r="E304" s="16"/>
      <c r="F304" s="13"/>
    </row>
    <row r="305" spans="1:15" x14ac:dyDescent="0.25">
      <c r="B305" s="25" t="s">
        <v>213</v>
      </c>
      <c r="C305" s="265">
        <v>0.56171012637977924</v>
      </c>
      <c r="D305" s="265">
        <v>0.20992641177411614</v>
      </c>
      <c r="E305" s="16"/>
      <c r="F305" s="13"/>
    </row>
    <row r="306" spans="1:15" x14ac:dyDescent="0.25">
      <c r="B306" s="25" t="s">
        <v>221</v>
      </c>
      <c r="C306" s="265">
        <v>0.65898198355781001</v>
      </c>
      <c r="D306" s="265">
        <v>0.25800244883680251</v>
      </c>
      <c r="E306" s="16"/>
      <c r="F306" s="13"/>
    </row>
    <row r="307" spans="1:15" x14ac:dyDescent="0.25">
      <c r="A307" s="12"/>
      <c r="B307" s="25" t="s">
        <v>73</v>
      </c>
      <c r="C307" s="265">
        <v>0.59708879925693126</v>
      </c>
      <c r="D307" s="265">
        <v>0.22741211049330093</v>
      </c>
      <c r="E307" s="16"/>
      <c r="F307" s="13"/>
      <c r="O307" s="12"/>
    </row>
    <row r="308" spans="1:15" s="12" customFormat="1" ht="24" customHeight="1" x14ac:dyDescent="0.25">
      <c r="A308" s="11"/>
      <c r="B308"/>
      <c r="C308"/>
      <c r="D308"/>
      <c r="E308" s="16"/>
      <c r="F308" s="13"/>
      <c r="G308" s="11"/>
      <c r="H308" s="11"/>
      <c r="I308" s="11"/>
      <c r="J308" s="11"/>
      <c r="K308" s="11"/>
      <c r="L308" s="11"/>
      <c r="M308" s="11"/>
      <c r="N308" s="11"/>
      <c r="O308" s="11"/>
    </row>
    <row r="309" spans="1:15" x14ac:dyDescent="0.25">
      <c r="B309"/>
      <c r="C309"/>
      <c r="D309"/>
      <c r="E309" s="16"/>
      <c r="F309" s="13"/>
    </row>
    <row r="310" spans="1:15" x14ac:dyDescent="0.25">
      <c r="B310"/>
      <c r="C310"/>
      <c r="D310"/>
      <c r="E310" s="16"/>
      <c r="F310" s="13"/>
    </row>
    <row r="311" spans="1:15" x14ac:dyDescent="0.25">
      <c r="B311"/>
      <c r="C311"/>
      <c r="D311"/>
      <c r="E311" s="16"/>
      <c r="F311" s="13"/>
    </row>
    <row r="312" spans="1:15" x14ac:dyDescent="0.25">
      <c r="B312"/>
      <c r="C312"/>
      <c r="D312"/>
      <c r="E312" s="16"/>
      <c r="F312" s="13"/>
    </row>
    <row r="313" spans="1:15" x14ac:dyDescent="0.25">
      <c r="B313"/>
      <c r="C313"/>
      <c r="D313"/>
      <c r="E313" s="16"/>
      <c r="F313" s="13"/>
    </row>
    <row r="314" spans="1:15" x14ac:dyDescent="0.25">
      <c r="B314"/>
      <c r="C314"/>
      <c r="D314"/>
      <c r="E314" s="16"/>
      <c r="F314" s="13"/>
    </row>
    <row r="315" spans="1:15" x14ac:dyDescent="0.25">
      <c r="B315"/>
      <c r="C315"/>
      <c r="D315"/>
      <c r="I315" s="12"/>
      <c r="J315" s="12"/>
      <c r="K315" s="12"/>
      <c r="L315" s="12"/>
      <c r="M315" s="12"/>
      <c r="N315" s="12"/>
    </row>
    <row r="316" spans="1:15" x14ac:dyDescent="0.25">
      <c r="A316" s="12"/>
      <c r="B316"/>
      <c r="C316"/>
      <c r="D316"/>
      <c r="I316" s="12"/>
      <c r="J316" s="12"/>
      <c r="K316" s="12"/>
      <c r="L316" s="12"/>
      <c r="M316" s="12"/>
      <c r="N316" s="12"/>
      <c r="O316" s="12"/>
    </row>
    <row r="317" spans="1:15" s="12" customFormat="1" x14ac:dyDescent="0.25">
      <c r="B317"/>
      <c r="C317"/>
      <c r="D317"/>
      <c r="E317" s="14"/>
      <c r="F317" s="11"/>
      <c r="G317" s="11"/>
      <c r="H317" s="11"/>
    </row>
    <row r="318" spans="1:15" s="12" customFormat="1" x14ac:dyDescent="0.25">
      <c r="B318" s="11"/>
      <c r="C318" s="14"/>
      <c r="D318" s="14"/>
      <c r="E318" s="14"/>
      <c r="F318" s="11"/>
      <c r="G318" s="11"/>
      <c r="H318" s="11"/>
    </row>
    <row r="319" spans="1:15" s="12" customFormat="1" x14ac:dyDescent="0.25">
      <c r="B319" s="28" t="s">
        <v>3</v>
      </c>
      <c r="C319" t="s">
        <v>442</v>
      </c>
      <c r="D319" s="14"/>
      <c r="E319" s="14"/>
      <c r="F319" s="11"/>
      <c r="G319" s="11"/>
      <c r="H319" s="11"/>
    </row>
    <row r="320" spans="1:15" s="12" customFormat="1" x14ac:dyDescent="0.25">
      <c r="B320" s="28" t="s">
        <v>285</v>
      </c>
      <c r="C320" t="s">
        <v>74</v>
      </c>
      <c r="D320" s="14"/>
      <c r="E320" s="14"/>
      <c r="F320" s="11"/>
      <c r="G320" s="11"/>
      <c r="H320" s="11"/>
    </row>
    <row r="321" spans="1:158" s="12" customFormat="1" x14ac:dyDescent="0.25">
      <c r="B321" s="11"/>
      <c r="C321" s="14"/>
      <c r="D321" s="14"/>
      <c r="E321" s="14"/>
      <c r="F321" s="11"/>
      <c r="G321" s="11"/>
      <c r="H321" s="11"/>
    </row>
    <row r="322" spans="1:158" s="12" customFormat="1" ht="45" x14ac:dyDescent="0.25">
      <c r="B322" s="269" t="s">
        <v>236</v>
      </c>
      <c r="C322" s="279" t="s">
        <v>641</v>
      </c>
      <c r="D322" s="279" t="s">
        <v>651</v>
      </c>
      <c r="E322" s="14"/>
      <c r="F322" s="11"/>
      <c r="G322" s="11"/>
      <c r="H322" s="11"/>
    </row>
    <row r="323" spans="1:158" s="12" customFormat="1" x14ac:dyDescent="0.25">
      <c r="B323" s="25" t="s">
        <v>213</v>
      </c>
      <c r="C323" s="265">
        <v>0.83824223543849707</v>
      </c>
      <c r="D323" s="265">
        <v>6.4784326913999796E-2</v>
      </c>
      <c r="E323" s="14"/>
      <c r="F323" s="11"/>
      <c r="G323" s="11"/>
      <c r="H323" s="11"/>
    </row>
    <row r="324" spans="1:158" s="12" customFormat="1" x14ac:dyDescent="0.25">
      <c r="B324" s="25" t="s">
        <v>221</v>
      </c>
      <c r="C324" s="265">
        <v>0.9787396511534443</v>
      </c>
      <c r="D324" s="265">
        <v>3.7456796077484561E-4</v>
      </c>
      <c r="E324" s="14"/>
      <c r="F324" s="11"/>
      <c r="G324" s="11"/>
      <c r="H324" s="11"/>
    </row>
    <row r="325" spans="1:158" s="12" customFormat="1" x14ac:dyDescent="0.25">
      <c r="B325" s="25" t="s">
        <v>73</v>
      </c>
      <c r="C325" s="265">
        <v>0.89022214292086721</v>
      </c>
      <c r="D325" s="265">
        <v>4.0954612365063772E-2</v>
      </c>
      <c r="E325" s="14"/>
      <c r="F325" s="11"/>
      <c r="G325" s="11"/>
      <c r="H325" s="11"/>
    </row>
    <row r="326" spans="1:158" s="12" customFormat="1" x14ac:dyDescent="0.25">
      <c r="B326" s="11"/>
      <c r="C326" s="14"/>
      <c r="D326" s="14"/>
      <c r="E326" s="14"/>
      <c r="F326" s="11"/>
      <c r="G326" s="11"/>
      <c r="H326" s="11"/>
    </row>
    <row r="327" spans="1:158" s="12" customFormat="1" x14ac:dyDescent="0.25">
      <c r="A327" s="11"/>
      <c r="B327" s="11"/>
      <c r="C327" s="14"/>
      <c r="D327" s="14"/>
      <c r="E327" s="14"/>
      <c r="F327" s="11"/>
      <c r="G327" s="11"/>
      <c r="H327" s="11"/>
      <c r="O327" s="11"/>
    </row>
    <row r="328" spans="1:158" x14ac:dyDescent="0.25">
      <c r="I328" s="12"/>
      <c r="J328" s="12"/>
      <c r="K328" s="12"/>
      <c r="L328" s="12"/>
      <c r="M328" s="12"/>
      <c r="N328" s="12"/>
      <c r="O328"/>
    </row>
    <row r="329" spans="1:158" x14ac:dyDescent="0.25">
      <c r="B329" s="12"/>
      <c r="I329" s="12"/>
      <c r="J329" s="12"/>
      <c r="K329" s="12"/>
      <c r="L329" s="12"/>
      <c r="M329" s="12"/>
      <c r="N329" s="12"/>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row>
    <row r="330" spans="1:158" x14ac:dyDescent="0.25">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row>
    <row r="331" spans="1:158" x14ac:dyDescent="0.25">
      <c r="B331" s="28" t="s">
        <v>3</v>
      </c>
      <c r="C331" t="s">
        <v>74</v>
      </c>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row>
    <row r="332" spans="1:158" x14ac:dyDescent="0.25">
      <c r="B332" s="28" t="s">
        <v>285</v>
      </c>
      <c r="C332" t="s">
        <v>74</v>
      </c>
      <c r="E332"/>
      <c r="F332"/>
      <c r="G332"/>
      <c r="H332"/>
      <c r="I332"/>
      <c r="J332"/>
      <c r="K332"/>
      <c r="L332"/>
      <c r="M332"/>
      <c r="N332"/>
      <c r="O332"/>
      <c r="P332" s="279"/>
      <c r="Q332" s="279"/>
      <c r="R332" s="279"/>
      <c r="S332" s="279"/>
      <c r="T332" s="279"/>
      <c r="U332" s="279"/>
      <c r="V332" s="279"/>
      <c r="W332" s="279"/>
      <c r="X332" s="279"/>
      <c r="Y332" s="279"/>
      <c r="Z332" s="279"/>
      <c r="AA332" s="279"/>
      <c r="AB332" s="279"/>
      <c r="AC332" s="279"/>
      <c r="AD332" s="279"/>
      <c r="AE332" s="279"/>
      <c r="AF332" s="279"/>
      <c r="AG332" s="279"/>
      <c r="AH332" s="279"/>
      <c r="AI332" s="279"/>
      <c r="AJ332" s="279"/>
      <c r="AK332" s="279"/>
      <c r="AL332" s="279"/>
      <c r="AM332" s="279"/>
      <c r="AN332" s="279"/>
      <c r="AO332" s="279"/>
      <c r="AP332" s="279"/>
      <c r="AQ332" s="279"/>
      <c r="AR332" s="279"/>
      <c r="AS332" s="279"/>
      <c r="AT332" s="279"/>
      <c r="AU332" s="279"/>
      <c r="AV332" s="279"/>
      <c r="AW332" s="279"/>
      <c r="AX332" s="279"/>
      <c r="AY332" s="279"/>
      <c r="AZ332" s="279"/>
      <c r="BA332" s="279"/>
      <c r="BB332" s="279"/>
      <c r="BC332" s="279"/>
      <c r="BD332" s="279"/>
      <c r="BE332" s="279"/>
      <c r="BF332" s="279"/>
      <c r="BG332" s="279"/>
      <c r="BH332" s="279"/>
      <c r="BI332" s="279"/>
      <c r="BJ332" s="279"/>
      <c r="BK332" s="279"/>
      <c r="BL332" s="279"/>
      <c r="BM332" s="279"/>
      <c r="BN332" s="279"/>
      <c r="BO332" s="279"/>
      <c r="BP332" s="279"/>
      <c r="BQ332" s="279"/>
      <c r="BR332" s="279"/>
      <c r="BS332" s="279"/>
      <c r="BT332" s="279"/>
      <c r="BU332" s="279"/>
      <c r="BV332" s="279"/>
      <c r="BW332" s="279"/>
      <c r="BX332" s="279"/>
      <c r="BY332" s="279"/>
      <c r="BZ332" s="279"/>
      <c r="CA332" s="279"/>
      <c r="CB332" s="279"/>
      <c r="CC332" s="279"/>
      <c r="CD332" s="279"/>
      <c r="CE332" s="279"/>
      <c r="CF332" s="279"/>
      <c r="CG332" s="279"/>
      <c r="CH332" s="279"/>
      <c r="CI332" s="279"/>
      <c r="CJ332" s="279"/>
      <c r="CK332" s="279"/>
      <c r="CL332" s="279"/>
      <c r="CM332" s="279"/>
      <c r="CN332" s="279"/>
      <c r="CO332" s="279"/>
      <c r="CP332" s="279"/>
      <c r="CQ332" s="279"/>
      <c r="CR332" s="279"/>
      <c r="CS332" s="279"/>
      <c r="CT332" s="279"/>
      <c r="CU332" s="279"/>
      <c r="CV332" s="279"/>
      <c r="CW332" s="279"/>
      <c r="CX332" s="279"/>
      <c r="CY332" s="279"/>
      <c r="CZ332" s="279"/>
      <c r="DA332" s="279"/>
      <c r="DB332" s="279"/>
      <c r="DC332" s="279"/>
      <c r="DD332" s="279"/>
      <c r="DE332" s="279"/>
      <c r="DF332" s="279"/>
      <c r="DG332" s="279"/>
      <c r="DH332" s="279"/>
      <c r="DI332" s="279"/>
      <c r="DJ332" s="279"/>
      <c r="DK332" s="279"/>
      <c r="DL332" s="279"/>
      <c r="DM332" s="279"/>
      <c r="DN332" s="279"/>
      <c r="DO332" s="279"/>
      <c r="DP332" s="279"/>
      <c r="DQ332" s="279"/>
      <c r="DR332" s="279"/>
      <c r="DS332" s="279"/>
      <c r="DT332" s="279"/>
      <c r="DU332" s="279"/>
      <c r="DV332" s="279"/>
      <c r="DW332" s="279"/>
      <c r="DX332" s="279"/>
      <c r="DY332" s="279"/>
      <c r="DZ332" s="279"/>
      <c r="EA332" s="279"/>
      <c r="EB332" s="279"/>
      <c r="EC332" s="279"/>
      <c r="ED332" s="279"/>
      <c r="EE332" s="279"/>
      <c r="EF332" s="279"/>
      <c r="EG332" s="279"/>
      <c r="EH332" s="279"/>
      <c r="EI332" s="279"/>
      <c r="EJ332" s="279"/>
      <c r="EK332" s="279"/>
      <c r="EL332" s="279"/>
      <c r="EM332" s="279"/>
      <c r="EN332" s="279"/>
      <c r="EO332" s="279"/>
      <c r="EP332" s="279"/>
      <c r="EQ332" s="279"/>
      <c r="ER332" s="279"/>
      <c r="ES332" s="279"/>
      <c r="ET332" s="279"/>
      <c r="EU332" s="279"/>
      <c r="EV332" s="279"/>
      <c r="EW332" s="279"/>
      <c r="EX332" s="279"/>
      <c r="EY332" s="279"/>
      <c r="EZ332" s="279"/>
      <c r="FA332" s="279"/>
      <c r="FB332" s="279"/>
    </row>
    <row r="333" spans="1:158" x14ac:dyDescent="0.25">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row>
    <row r="334" spans="1:158" ht="45" x14ac:dyDescent="0.25">
      <c r="B334" s="269" t="s">
        <v>236</v>
      </c>
      <c r="C334" s="274" t="s">
        <v>642</v>
      </c>
      <c r="D334" s="274" t="s">
        <v>652</v>
      </c>
      <c r="E334" s="279"/>
      <c r="F334" s="279"/>
      <c r="G334" s="279"/>
      <c r="H334" s="279"/>
      <c r="I334" s="279"/>
      <c r="J334" s="279"/>
      <c r="K334" s="279"/>
      <c r="L334" s="279"/>
      <c r="M334" s="279"/>
      <c r="N334" s="279"/>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row>
    <row r="335" spans="1:158" x14ac:dyDescent="0.25">
      <c r="B335" s="25" t="s">
        <v>213</v>
      </c>
      <c r="C335" s="275">
        <v>0.52949528075507923</v>
      </c>
      <c r="D335" s="275">
        <v>3.8418137218045122E-2</v>
      </c>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row>
    <row r="336" spans="1:158" x14ac:dyDescent="0.25">
      <c r="B336" s="25" t="s">
        <v>221</v>
      </c>
      <c r="C336" s="275">
        <v>0.5239111422074515</v>
      </c>
      <c r="D336" s="275">
        <v>4.7405982158475433E-3</v>
      </c>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row>
    <row r="337" spans="2:158" x14ac:dyDescent="0.25">
      <c r="B337" s="25" t="s">
        <v>73</v>
      </c>
      <c r="C337" s="275">
        <v>0.52746427798913387</v>
      </c>
      <c r="D337" s="275">
        <v>2.6169305230745728E-2</v>
      </c>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row>
    <row r="338" spans="2:158" x14ac:dyDescent="0.25">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row>
    <row r="339" spans="2:158" x14ac:dyDescent="0.25">
      <c r="C339"/>
      <c r="D339"/>
      <c r="E339"/>
      <c r="F339"/>
      <c r="G339"/>
      <c r="H339"/>
      <c r="I339"/>
      <c r="J339"/>
      <c r="K339"/>
      <c r="L339"/>
      <c r="M339"/>
      <c r="N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row>
    <row r="340" spans="2:158" x14ac:dyDescent="0.25">
      <c r="C340"/>
      <c r="D340"/>
      <c r="E340"/>
      <c r="F340"/>
      <c r="G340"/>
      <c r="H340"/>
      <c r="I340"/>
      <c r="J340"/>
      <c r="K340"/>
      <c r="L340"/>
      <c r="M340"/>
      <c r="N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row>
    <row r="341" spans="2:158" x14ac:dyDescent="0.25">
      <c r="E341" s="16"/>
      <c r="F341" s="13"/>
    </row>
    <row r="342" spans="2:158" x14ac:dyDescent="0.25">
      <c r="E342" s="16"/>
      <c r="F342" s="13"/>
    </row>
    <row r="343" spans="2:158" ht="21" x14ac:dyDescent="0.25">
      <c r="B343" s="264" t="s">
        <v>95</v>
      </c>
      <c r="C343" s="32"/>
      <c r="D343" s="32"/>
      <c r="E343" s="32"/>
      <c r="F343" s="32"/>
      <c r="G343" s="32"/>
      <c r="H343" s="32"/>
      <c r="I343" s="32"/>
      <c r="J343" s="32"/>
      <c r="K343" s="32"/>
      <c r="L343" s="32"/>
      <c r="M343" s="32"/>
      <c r="N343" s="33"/>
    </row>
    <row r="344" spans="2:158" x14ac:dyDescent="0.25">
      <c r="E344" s="16"/>
      <c r="F344" s="13"/>
    </row>
    <row r="345" spans="2:158" x14ac:dyDescent="0.25">
      <c r="B345" s="12"/>
      <c r="C345" s="16"/>
    </row>
    <row r="346" spans="2:158" x14ac:dyDescent="0.25">
      <c r="B346" s="28" t="s">
        <v>3</v>
      </c>
      <c r="C346" t="s">
        <v>442</v>
      </c>
    </row>
    <row r="347" spans="2:158" x14ac:dyDescent="0.25">
      <c r="B347" s="28" t="s">
        <v>4</v>
      </c>
      <c r="C347" t="s">
        <v>74</v>
      </c>
    </row>
    <row r="348" spans="2:158" x14ac:dyDescent="0.25">
      <c r="B348" s="28" t="s">
        <v>285</v>
      </c>
      <c r="C348" t="s">
        <v>74</v>
      </c>
    </row>
    <row r="350" spans="2:158" x14ac:dyDescent="0.25">
      <c r="B350" s="28" t="s">
        <v>236</v>
      </c>
      <c r="C350" t="s">
        <v>632</v>
      </c>
    </row>
    <row r="351" spans="2:158" x14ac:dyDescent="0.25">
      <c r="B351" s="25" t="s">
        <v>175</v>
      </c>
      <c r="C351" s="265">
        <v>0.642386173959409</v>
      </c>
    </row>
    <row r="352" spans="2:158" x14ac:dyDescent="0.25">
      <c r="B352" s="25" t="s">
        <v>104</v>
      </c>
      <c r="C352" s="265">
        <v>0.19449980071741729</v>
      </c>
    </row>
    <row r="353" spans="2:3" x14ac:dyDescent="0.25">
      <c r="B353" s="25" t="s">
        <v>107</v>
      </c>
      <c r="C353" s="265">
        <v>1.4234083958854601E-2</v>
      </c>
    </row>
    <row r="354" spans="2:3" x14ac:dyDescent="0.25">
      <c r="B354" s="25" t="s">
        <v>124</v>
      </c>
      <c r="C354" s="265">
        <v>0</v>
      </c>
    </row>
    <row r="355" spans="2:3" x14ac:dyDescent="0.25">
      <c r="B355" s="25" t="s">
        <v>200</v>
      </c>
      <c r="C355" s="265">
        <v>0.81099727748442241</v>
      </c>
    </row>
    <row r="356" spans="2:3" x14ac:dyDescent="0.25">
      <c r="B356" s="25" t="s">
        <v>181</v>
      </c>
      <c r="C356" s="265">
        <v>6.9634281492427036E-2</v>
      </c>
    </row>
    <row r="357" spans="2:3" x14ac:dyDescent="0.25">
      <c r="B357" s="25" t="s">
        <v>182</v>
      </c>
      <c r="C357" s="265">
        <v>0.43167701863354035</v>
      </c>
    </row>
    <row r="358" spans="2:3" x14ac:dyDescent="0.25">
      <c r="B358" s="25" t="s">
        <v>220</v>
      </c>
      <c r="C358" s="265">
        <v>0.49932523616734142</v>
      </c>
    </row>
    <row r="359" spans="2:3" x14ac:dyDescent="0.25">
      <c r="B359" s="25" t="s">
        <v>129</v>
      </c>
      <c r="C359" s="265">
        <v>0.59375</v>
      </c>
    </row>
    <row r="360" spans="2:3" x14ac:dyDescent="0.25">
      <c r="B360" s="25" t="s">
        <v>183</v>
      </c>
      <c r="C360" s="265">
        <v>0.4950523142724948</v>
      </c>
    </row>
    <row r="361" spans="2:3" x14ac:dyDescent="0.25">
      <c r="B361" s="25" t="s">
        <v>209</v>
      </c>
      <c r="C361" s="265">
        <v>0.65395095367847411</v>
      </c>
    </row>
    <row r="362" spans="2:3" x14ac:dyDescent="0.25">
      <c r="B362" s="25" t="s">
        <v>131</v>
      </c>
      <c r="C362" s="265">
        <v>0.69951892476821065</v>
      </c>
    </row>
    <row r="363" spans="2:3" x14ac:dyDescent="0.25">
      <c r="B363" s="25" t="s">
        <v>460</v>
      </c>
      <c r="C363" s="265">
        <v>0.46054840514829321</v>
      </c>
    </row>
    <row r="364" spans="2:3" x14ac:dyDescent="0.25">
      <c r="B364" s="25" t="s">
        <v>227</v>
      </c>
      <c r="C364" s="265">
        <v>1</v>
      </c>
    </row>
    <row r="365" spans="2:3" x14ac:dyDescent="0.25">
      <c r="B365" s="25" t="s">
        <v>219</v>
      </c>
      <c r="C365" s="265">
        <v>0.87912087912087911</v>
      </c>
    </row>
    <row r="366" spans="2:3" x14ac:dyDescent="0.25">
      <c r="B366" s="25" t="s">
        <v>218</v>
      </c>
      <c r="C366" s="265">
        <v>0</v>
      </c>
    </row>
    <row r="367" spans="2:3" x14ac:dyDescent="0.25">
      <c r="B367" s="25" t="s">
        <v>910</v>
      </c>
      <c r="C367" s="265">
        <v>0</v>
      </c>
    </row>
    <row r="368" spans="2:3" x14ac:dyDescent="0.25">
      <c r="B368" s="25" t="s">
        <v>154</v>
      </c>
      <c r="C368" s="265">
        <v>0.21780491821475428</v>
      </c>
    </row>
    <row r="369" spans="2:3" x14ac:dyDescent="0.25">
      <c r="B369" s="25" t="s">
        <v>712</v>
      </c>
      <c r="C369" s="265">
        <v>0.41412213740458015</v>
      </c>
    </row>
    <row r="370" spans="2:3" x14ac:dyDescent="0.25">
      <c r="B370" s="25" t="s">
        <v>73</v>
      </c>
      <c r="C370" s="265">
        <v>0.38835098425588399</v>
      </c>
    </row>
    <row r="371" spans="2:3" x14ac:dyDescent="0.25">
      <c r="B371"/>
      <c r="C371"/>
    </row>
    <row r="372" spans="2:3" x14ac:dyDescent="0.25">
      <c r="B372" s="12"/>
      <c r="C372" s="16"/>
    </row>
    <row r="373" spans="2:3" x14ac:dyDescent="0.25">
      <c r="B373" s="12"/>
      <c r="C373" s="16"/>
    </row>
    <row r="374" spans="2:3" x14ac:dyDescent="0.25">
      <c r="B374" s="28" t="s">
        <v>3</v>
      </c>
      <c r="C374" t="s">
        <v>442</v>
      </c>
    </row>
    <row r="375" spans="2:3" x14ac:dyDescent="0.25">
      <c r="B375" s="28" t="s">
        <v>4</v>
      </c>
      <c r="C375" t="s">
        <v>74</v>
      </c>
    </row>
    <row r="376" spans="2:3" x14ac:dyDescent="0.25">
      <c r="B376" s="28" t="s">
        <v>285</v>
      </c>
      <c r="C376" t="s">
        <v>74</v>
      </c>
    </row>
    <row r="378" spans="2:3" x14ac:dyDescent="0.25">
      <c r="B378" s="28" t="s">
        <v>236</v>
      </c>
      <c r="C378" t="s">
        <v>648</v>
      </c>
    </row>
    <row r="379" spans="2:3" x14ac:dyDescent="0.25">
      <c r="B379" s="25" t="s">
        <v>256</v>
      </c>
      <c r="C379" s="265">
        <v>1.4234083958854601E-2</v>
      </c>
    </row>
    <row r="380" spans="2:3" x14ac:dyDescent="0.25">
      <c r="B380" s="25" t="s">
        <v>257</v>
      </c>
      <c r="C380" s="265">
        <v>0.41176559540510843</v>
      </c>
    </row>
    <row r="381" spans="2:3" x14ac:dyDescent="0.25">
      <c r="B381" s="25" t="s">
        <v>258</v>
      </c>
      <c r="C381" s="265">
        <v>0.53285465622280237</v>
      </c>
    </row>
    <row r="382" spans="2:3" x14ac:dyDescent="0.25">
      <c r="B382" s="25" t="s">
        <v>259</v>
      </c>
      <c r="C382" s="265">
        <v>0.4885809366324691</v>
      </c>
    </row>
    <row r="383" spans="2:3" x14ac:dyDescent="0.25">
      <c r="B383" s="25" t="s">
        <v>260</v>
      </c>
      <c r="C383" s="265">
        <v>0.57310386545655367</v>
      </c>
    </row>
    <row r="384" spans="2:3" x14ac:dyDescent="0.25">
      <c r="B384" s="25" t="s">
        <v>265</v>
      </c>
      <c r="C384" s="265">
        <v>0.17071459272368469</v>
      </c>
    </row>
    <row r="385" spans="2:3" x14ac:dyDescent="0.25">
      <c r="B385" s="25" t="s">
        <v>266</v>
      </c>
      <c r="C385" s="265">
        <v>0.27576791808873719</v>
      </c>
    </row>
    <row r="386" spans="2:3" x14ac:dyDescent="0.25">
      <c r="B386" s="25" t="s">
        <v>267</v>
      </c>
      <c r="C386" s="265">
        <v>0.75737103369849212</v>
      </c>
    </row>
    <row r="387" spans="2:3" x14ac:dyDescent="0.25">
      <c r="B387" s="25" t="s">
        <v>268</v>
      </c>
      <c r="C387" s="265">
        <v>0.49307479224376732</v>
      </c>
    </row>
    <row r="388" spans="2:3" x14ac:dyDescent="0.25">
      <c r="B388" s="25" t="s">
        <v>313</v>
      </c>
      <c r="C388" s="265">
        <v>0.18843594463019639</v>
      </c>
    </row>
    <row r="389" spans="2:3" x14ac:dyDescent="0.25">
      <c r="B389" s="25" t="s">
        <v>73</v>
      </c>
      <c r="C389" s="265">
        <v>0.38835098425588399</v>
      </c>
    </row>
    <row r="390" spans="2:3" x14ac:dyDescent="0.25">
      <c r="B390"/>
      <c r="C390"/>
    </row>
    <row r="391" spans="2:3" x14ac:dyDescent="0.25">
      <c r="B391"/>
      <c r="C391"/>
    </row>
    <row r="392" spans="2:3" x14ac:dyDescent="0.25">
      <c r="B392"/>
      <c r="C392"/>
    </row>
    <row r="393" spans="2:3" x14ac:dyDescent="0.25">
      <c r="B393"/>
      <c r="C393"/>
    </row>
    <row r="394" spans="2:3" x14ac:dyDescent="0.25">
      <c r="B394"/>
      <c r="C394"/>
    </row>
    <row r="395" spans="2:3" x14ac:dyDescent="0.25">
      <c r="B395"/>
      <c r="C395"/>
    </row>
    <row r="396" spans="2:3" x14ac:dyDescent="0.25">
      <c r="B396"/>
      <c r="C396"/>
    </row>
    <row r="397" spans="2:3" x14ac:dyDescent="0.25">
      <c r="B397" s="28" t="s">
        <v>3</v>
      </c>
      <c r="C397" t="s">
        <v>74</v>
      </c>
    </row>
    <row r="398" spans="2:3" x14ac:dyDescent="0.25">
      <c r="B398" s="28" t="s">
        <v>255</v>
      </c>
      <c r="C398" t="s">
        <v>74</v>
      </c>
    </row>
    <row r="399" spans="2:3" x14ac:dyDescent="0.25">
      <c r="B399" s="28" t="s">
        <v>285</v>
      </c>
      <c r="C399" t="s">
        <v>74</v>
      </c>
    </row>
    <row r="401" spans="2:8" x14ac:dyDescent="0.25">
      <c r="B401" s="28" t="s">
        <v>236</v>
      </c>
      <c r="C401" t="s">
        <v>649</v>
      </c>
    </row>
    <row r="402" spans="2:8" x14ac:dyDescent="0.25">
      <c r="B402" s="25" t="s">
        <v>213</v>
      </c>
      <c r="C402" s="265">
        <v>0.37066569348904177</v>
      </c>
    </row>
    <row r="403" spans="2:8" x14ac:dyDescent="0.25">
      <c r="B403" s="25" t="s">
        <v>221</v>
      </c>
      <c r="C403" s="265">
        <v>0.63207976211299632</v>
      </c>
    </row>
    <row r="404" spans="2:8" x14ac:dyDescent="0.25">
      <c r="B404" s="25" t="s">
        <v>73</v>
      </c>
      <c r="C404" s="265">
        <v>0.4657444047179774</v>
      </c>
    </row>
    <row r="405" spans="2:8" x14ac:dyDescent="0.25">
      <c r="B405"/>
      <c r="C405"/>
    </row>
    <row r="406" spans="2:8" x14ac:dyDescent="0.25">
      <c r="B406"/>
      <c r="C406"/>
    </row>
    <row r="407" spans="2:8" x14ac:dyDescent="0.25">
      <c r="B407"/>
      <c r="C407"/>
    </row>
    <row r="408" spans="2:8" x14ac:dyDescent="0.25">
      <c r="B408"/>
      <c r="C408"/>
    </row>
    <row r="409" spans="2:8" x14ac:dyDescent="0.25">
      <c r="B409"/>
      <c r="C409"/>
    </row>
    <row r="410" spans="2:8" x14ac:dyDescent="0.25">
      <c r="B410"/>
      <c r="C410"/>
    </row>
    <row r="411" spans="2:8" x14ac:dyDescent="0.25">
      <c r="B411"/>
      <c r="C411"/>
    </row>
    <row r="412" spans="2:8" x14ac:dyDescent="0.25">
      <c r="B412"/>
      <c r="C412"/>
    </row>
    <row r="413" spans="2:8" x14ac:dyDescent="0.25">
      <c r="B413"/>
      <c r="C413"/>
    </row>
    <row r="414" spans="2:8" x14ac:dyDescent="0.25">
      <c r="B414"/>
      <c r="C414"/>
    </row>
    <row r="415" spans="2:8" x14ac:dyDescent="0.25">
      <c r="B415"/>
      <c r="C415"/>
    </row>
    <row r="416" spans="2:8" x14ac:dyDescent="0.25">
      <c r="B416"/>
      <c r="C416"/>
      <c r="D416"/>
      <c r="E416"/>
      <c r="F416"/>
      <c r="G416"/>
      <c r="H416"/>
    </row>
    <row r="417" spans="2:8" x14ac:dyDescent="0.25">
      <c r="B417" s="28" t="s">
        <v>3</v>
      </c>
      <c r="C417" t="s">
        <v>442</v>
      </c>
      <c r="D417"/>
      <c r="E417"/>
      <c r="F417"/>
      <c r="G417"/>
      <c r="H417"/>
    </row>
    <row r="418" spans="2:8" x14ac:dyDescent="0.25">
      <c r="B418" s="28" t="s">
        <v>4</v>
      </c>
      <c r="C418" t="s">
        <v>74</v>
      </c>
      <c r="D418"/>
      <c r="E418"/>
      <c r="F418"/>
      <c r="G418"/>
      <c r="H418"/>
    </row>
    <row r="419" spans="2:8" x14ac:dyDescent="0.25">
      <c r="B419" s="28" t="s">
        <v>285</v>
      </c>
      <c r="C419" t="s">
        <v>74</v>
      </c>
      <c r="D419"/>
      <c r="E419"/>
      <c r="F419"/>
      <c r="G419"/>
      <c r="H419"/>
    </row>
    <row r="420" spans="2:8" x14ac:dyDescent="0.25">
      <c r="D420"/>
      <c r="E420"/>
      <c r="F420"/>
      <c r="G420"/>
      <c r="H420"/>
    </row>
    <row r="421" spans="2:8" ht="90" x14ac:dyDescent="0.25">
      <c r="B421" s="269" t="s">
        <v>236</v>
      </c>
      <c r="C421" s="279" t="s">
        <v>287</v>
      </c>
      <c r="D421" s="279"/>
      <c r="E421" s="279"/>
      <c r="F421" s="279"/>
      <c r="G421" s="279"/>
      <c r="H421" s="279"/>
    </row>
    <row r="422" spans="2:8" x14ac:dyDescent="0.25">
      <c r="B422" s="25" t="s">
        <v>65</v>
      </c>
      <c r="C422" s="266">
        <v>86</v>
      </c>
      <c r="D422"/>
      <c r="E422"/>
      <c r="F422"/>
      <c r="G422"/>
      <c r="H422"/>
    </row>
    <row r="423" spans="2:8" x14ac:dyDescent="0.25">
      <c r="B423" s="25" t="s">
        <v>292</v>
      </c>
      <c r="C423" s="266">
        <v>54</v>
      </c>
      <c r="D423"/>
      <c r="E423"/>
      <c r="F423"/>
      <c r="G423"/>
      <c r="H423"/>
    </row>
    <row r="424" spans="2:8" x14ac:dyDescent="0.25">
      <c r="B424" s="25" t="s">
        <v>73</v>
      </c>
      <c r="C424" s="266">
        <v>140</v>
      </c>
      <c r="D424"/>
      <c r="E424"/>
      <c r="F424"/>
      <c r="G424"/>
      <c r="H424"/>
    </row>
    <row r="425" spans="2:8" x14ac:dyDescent="0.25">
      <c r="B425"/>
      <c r="C425"/>
      <c r="D425"/>
      <c r="E425"/>
      <c r="F425"/>
      <c r="G425"/>
      <c r="H425"/>
    </row>
    <row r="426" spans="2:8" x14ac:dyDescent="0.25">
      <c r="B426"/>
      <c r="C426"/>
      <c r="D426"/>
      <c r="E426"/>
      <c r="F426"/>
      <c r="G426"/>
      <c r="H426"/>
    </row>
    <row r="427" spans="2:8" x14ac:dyDescent="0.25">
      <c r="B427"/>
      <c r="C427"/>
      <c r="D427"/>
      <c r="E427"/>
      <c r="F427"/>
      <c r="G427"/>
      <c r="H427"/>
    </row>
    <row r="428" spans="2:8" x14ac:dyDescent="0.25">
      <c r="B428"/>
      <c r="C428"/>
      <c r="D428"/>
      <c r="E428"/>
      <c r="F428"/>
      <c r="G428"/>
      <c r="H428"/>
    </row>
    <row r="429" spans="2:8" x14ac:dyDescent="0.25">
      <c r="B429"/>
      <c r="C429"/>
      <c r="D429"/>
      <c r="E429"/>
      <c r="F429"/>
      <c r="G429"/>
      <c r="H429"/>
    </row>
    <row r="430" spans="2:8" x14ac:dyDescent="0.25">
      <c r="B430"/>
      <c r="C430"/>
      <c r="D430"/>
      <c r="E430"/>
      <c r="F430"/>
      <c r="G430"/>
      <c r="H430"/>
    </row>
    <row r="431" spans="2:8" x14ac:dyDescent="0.25">
      <c r="B431"/>
      <c r="C431"/>
      <c r="D431"/>
      <c r="E431"/>
      <c r="F431"/>
      <c r="G431"/>
      <c r="H431"/>
    </row>
    <row r="432" spans="2:8" x14ac:dyDescent="0.25">
      <c r="B432"/>
      <c r="C432"/>
      <c r="D432"/>
      <c r="E432"/>
      <c r="F432"/>
      <c r="G432"/>
      <c r="H432"/>
    </row>
    <row r="434" spans="2:3" x14ac:dyDescent="0.25">
      <c r="B434"/>
      <c r="C434"/>
    </row>
    <row r="435" spans="2:3" x14ac:dyDescent="0.25">
      <c r="B435"/>
      <c r="C435"/>
    </row>
    <row r="436" spans="2:3" x14ac:dyDescent="0.25">
      <c r="B436" s="28" t="s">
        <v>3</v>
      </c>
      <c r="C436" t="s">
        <v>442</v>
      </c>
    </row>
    <row r="437" spans="2:3" x14ac:dyDescent="0.25">
      <c r="B437" s="28" t="s">
        <v>4</v>
      </c>
      <c r="C437" t="s">
        <v>74</v>
      </c>
    </row>
    <row r="438" spans="2:3" x14ac:dyDescent="0.25">
      <c r="B438" s="28" t="s">
        <v>285</v>
      </c>
      <c r="C438" t="s">
        <v>74</v>
      </c>
    </row>
    <row r="440" spans="2:3" x14ac:dyDescent="0.25">
      <c r="B440" s="28" t="s">
        <v>236</v>
      </c>
      <c r="C440" t="s">
        <v>634</v>
      </c>
    </row>
    <row r="441" spans="2:3" x14ac:dyDescent="0.25">
      <c r="B441" s="25" t="s">
        <v>289</v>
      </c>
      <c r="C441" s="268">
        <v>70</v>
      </c>
    </row>
    <row r="442" spans="2:3" x14ac:dyDescent="0.25">
      <c r="B442" s="25" t="s">
        <v>89</v>
      </c>
      <c r="C442" s="268">
        <v>37</v>
      </c>
    </row>
    <row r="443" spans="2:3" x14ac:dyDescent="0.25">
      <c r="B443" s="25" t="s">
        <v>291</v>
      </c>
      <c r="C443" s="268">
        <v>5</v>
      </c>
    </row>
    <row r="444" spans="2:3" x14ac:dyDescent="0.25">
      <c r="B444" s="25" t="s">
        <v>290</v>
      </c>
      <c r="C444" s="268">
        <v>28</v>
      </c>
    </row>
    <row r="445" spans="2:3" x14ac:dyDescent="0.25">
      <c r="B445" s="25" t="s">
        <v>73</v>
      </c>
      <c r="C445" s="268">
        <v>140</v>
      </c>
    </row>
    <row r="446" spans="2:3" x14ac:dyDescent="0.25">
      <c r="B446"/>
      <c r="C446"/>
    </row>
    <row r="447" spans="2:3" x14ac:dyDescent="0.25">
      <c r="B447"/>
      <c r="C447"/>
    </row>
    <row r="448" spans="2:3" x14ac:dyDescent="0.25">
      <c r="B448" s="12"/>
      <c r="C448" s="17"/>
    </row>
    <row r="449" spans="2:15" x14ac:dyDescent="0.25">
      <c r="B449" s="12"/>
      <c r="C449" s="17"/>
    </row>
    <row r="450" spans="2:15" x14ac:dyDescent="0.25">
      <c r="B450" s="12"/>
      <c r="C450" s="17"/>
    </row>
    <row r="451" spans="2:15" x14ac:dyDescent="0.25">
      <c r="B451" s="12"/>
      <c r="C451" s="17"/>
    </row>
    <row r="452" spans="2:15" x14ac:dyDescent="0.25">
      <c r="B452" s="12"/>
      <c r="C452" s="17"/>
    </row>
    <row r="453" spans="2:15" x14ac:dyDescent="0.25">
      <c r="B453" s="12"/>
      <c r="C453" s="17"/>
    </row>
    <row r="454" spans="2:15" x14ac:dyDescent="0.25">
      <c r="B454"/>
      <c r="C454"/>
      <c r="D454" s="16"/>
      <c r="E454" s="16"/>
      <c r="F454" s="13"/>
    </row>
    <row r="455" spans="2:15" hidden="1" x14ac:dyDescent="0.25">
      <c r="B455" s="28" t="s">
        <v>3</v>
      </c>
      <c r="C455" t="s">
        <v>442</v>
      </c>
    </row>
    <row r="456" spans="2:15" hidden="1" x14ac:dyDescent="0.25">
      <c r="B456" s="28" t="s">
        <v>285</v>
      </c>
      <c r="C456" t="s">
        <v>74</v>
      </c>
    </row>
    <row r="457" spans="2:15" hidden="1" x14ac:dyDescent="0.25"/>
    <row r="458" spans="2:15" hidden="1" x14ac:dyDescent="0.25">
      <c r="B458" s="28" t="s">
        <v>236</v>
      </c>
      <c r="C458"/>
    </row>
    <row r="459" spans="2:15" hidden="1" x14ac:dyDescent="0.25">
      <c r="B459" s="25" t="s">
        <v>213</v>
      </c>
      <c r="C459"/>
    </row>
    <row r="460" spans="2:15" hidden="1" x14ac:dyDescent="0.25">
      <c r="B460" s="25" t="s">
        <v>221</v>
      </c>
      <c r="C460"/>
    </row>
    <row r="461" spans="2:15" hidden="1" x14ac:dyDescent="0.25">
      <c r="B461" s="25" t="s">
        <v>73</v>
      </c>
      <c r="C461"/>
    </row>
    <row r="462" spans="2:15" ht="31.5" customHeight="1" x14ac:dyDescent="0.25">
      <c r="B462"/>
      <c r="C462"/>
      <c r="O462" s="12"/>
    </row>
    <row r="463" spans="2:15" ht="21" x14ac:dyDescent="0.25">
      <c r="B463" s="264" t="s">
        <v>694</v>
      </c>
      <c r="C463" s="32"/>
      <c r="D463" s="32"/>
      <c r="E463" s="32"/>
      <c r="F463" s="32"/>
      <c r="G463" s="32"/>
      <c r="H463" s="32"/>
      <c r="I463" s="32"/>
      <c r="J463" s="32"/>
      <c r="K463" s="32"/>
      <c r="L463" s="32"/>
      <c r="M463" s="32"/>
      <c r="N463" s="33"/>
      <c r="O463" s="12"/>
    </row>
    <row r="464" spans="2:15" x14ac:dyDescent="0.25">
      <c r="B464"/>
      <c r="C464"/>
      <c r="O464" s="12"/>
    </row>
    <row r="465" spans="1:17" x14ac:dyDescent="0.25">
      <c r="B465"/>
      <c r="C465"/>
      <c r="O465" s="12"/>
    </row>
    <row r="466" spans="1:17" x14ac:dyDescent="0.25">
      <c r="A466" s="12"/>
      <c r="O466" s="12"/>
    </row>
    <row r="467" spans="1:17" s="12" customFormat="1" ht="24.6" customHeight="1" x14ac:dyDescent="0.25">
      <c r="B467" s="11"/>
      <c r="C467" s="14"/>
      <c r="D467" s="14"/>
      <c r="E467" s="14"/>
      <c r="F467" s="11"/>
      <c r="G467" s="11"/>
      <c r="H467" s="11"/>
      <c r="I467" s="11"/>
      <c r="J467" s="11"/>
      <c r="K467" s="11"/>
      <c r="L467" s="11"/>
      <c r="M467" s="11"/>
      <c r="N467" s="11"/>
    </row>
    <row r="468" spans="1:17" s="12" customFormat="1" x14ac:dyDescent="0.25">
      <c r="B468" s="11"/>
      <c r="C468" s="14"/>
      <c r="D468" s="14"/>
      <c r="E468" s="14"/>
      <c r="F468" s="11"/>
      <c r="G468" s="11"/>
      <c r="H468" s="11"/>
      <c r="I468" s="11"/>
      <c r="J468" s="11"/>
      <c r="K468" s="11"/>
      <c r="L468" s="11"/>
      <c r="M468" s="11"/>
      <c r="N468" s="11"/>
    </row>
    <row r="469" spans="1:17" s="12" customFormat="1" x14ac:dyDescent="0.25">
      <c r="B469" s="11"/>
      <c r="C469" s="14"/>
      <c r="D469" s="14"/>
      <c r="E469" s="14"/>
      <c r="F469" s="11"/>
      <c r="G469" s="11"/>
      <c r="H469" s="11"/>
      <c r="I469" s="11"/>
      <c r="J469" s="11"/>
      <c r="K469" s="11"/>
      <c r="L469" s="11"/>
      <c r="M469" s="11"/>
      <c r="N469" s="11"/>
    </row>
    <row r="470" spans="1:17" s="12" customFormat="1" x14ac:dyDescent="0.25">
      <c r="B470" s="11"/>
      <c r="C470" s="14"/>
      <c r="D470" s="14"/>
      <c r="E470" s="14"/>
      <c r="F470" s="11"/>
      <c r="G470" s="11"/>
      <c r="H470" s="11"/>
      <c r="I470" s="11"/>
      <c r="J470" s="11"/>
      <c r="K470" s="11"/>
      <c r="L470" s="11"/>
      <c r="M470" s="11"/>
      <c r="N470" s="11"/>
    </row>
    <row r="471" spans="1:17" s="12" customFormat="1" x14ac:dyDescent="0.25"/>
    <row r="472" spans="1:17" s="12" customFormat="1" x14ac:dyDescent="0.25">
      <c r="B472" s="11"/>
      <c r="C472" s="14"/>
      <c r="D472" s="14"/>
      <c r="E472" s="14"/>
      <c r="F472" s="11"/>
      <c r="G472" s="11"/>
      <c r="H472" s="11"/>
    </row>
    <row r="473" spans="1:17" s="12" customFormat="1" x14ac:dyDescent="0.25">
      <c r="B473" s="11"/>
      <c r="C473"/>
      <c r="D473"/>
      <c r="E473"/>
      <c r="F473"/>
      <c r="G473"/>
      <c r="H473"/>
      <c r="I473"/>
      <c r="J473"/>
      <c r="K473"/>
      <c r="L473"/>
      <c r="M473" s="11"/>
      <c r="N473" s="11"/>
    </row>
    <row r="474" spans="1:17" s="12" customFormat="1" x14ac:dyDescent="0.25">
      <c r="B474" s="11"/>
      <c r="C474"/>
      <c r="D474"/>
      <c r="E474"/>
      <c r="F474"/>
      <c r="G474"/>
      <c r="H474"/>
      <c r="I474"/>
      <c r="J474"/>
      <c r="K474"/>
      <c r="L474"/>
      <c r="M474" s="11"/>
      <c r="N474" s="11"/>
      <c r="O474" s="11"/>
    </row>
    <row r="475" spans="1:17" s="12" customFormat="1" x14ac:dyDescent="0.25">
      <c r="B475" s="11"/>
      <c r="C475"/>
      <c r="D475"/>
      <c r="E475"/>
      <c r="F475" s="60"/>
      <c r="G475"/>
      <c r="H475"/>
      <c r="I475"/>
      <c r="J475"/>
      <c r="K475"/>
      <c r="L475"/>
      <c r="M475" s="11"/>
      <c r="N475" s="11"/>
      <c r="O475" s="11"/>
      <c r="P475" s="710" t="s">
        <v>883</v>
      </c>
      <c r="Q475" s="711" t="s">
        <v>884</v>
      </c>
    </row>
    <row r="476" spans="1:17" s="12" customFormat="1" x14ac:dyDescent="0.25">
      <c r="B476" s="11"/>
      <c r="C476"/>
      <c r="D476"/>
      <c r="E476"/>
      <c r="F476"/>
      <c r="G476"/>
      <c r="H476"/>
      <c r="I476"/>
      <c r="J476"/>
      <c r="K476"/>
      <c r="L476"/>
      <c r="M476" s="11"/>
      <c r="N476" s="11"/>
      <c r="O476" s="11"/>
      <c r="P476" s="712" t="s">
        <v>625</v>
      </c>
      <c r="Q476" s="713">
        <v>42521</v>
      </c>
    </row>
    <row r="477" spans="1:17" s="12" customFormat="1" x14ac:dyDescent="0.25">
      <c r="B477" s="11"/>
      <c r="C477"/>
      <c r="D477"/>
      <c r="E477"/>
      <c r="F477"/>
      <c r="G477"/>
      <c r="H477"/>
      <c r="I477"/>
      <c r="J477"/>
      <c r="K477"/>
      <c r="L477"/>
      <c r="M477" s="11"/>
      <c r="N477" s="11"/>
      <c r="O477" s="11"/>
      <c r="P477" s="712" t="s">
        <v>273</v>
      </c>
      <c r="Q477" s="713">
        <v>42521</v>
      </c>
    </row>
    <row r="478" spans="1:17" s="12" customFormat="1" x14ac:dyDescent="0.25">
      <c r="B478" s="11"/>
      <c r="C478"/>
      <c r="D478"/>
      <c r="E478"/>
      <c r="F478"/>
      <c r="G478"/>
      <c r="H478"/>
      <c r="I478"/>
      <c r="J478"/>
      <c r="K478"/>
      <c r="L478"/>
      <c r="M478" s="11"/>
      <c r="N478" s="11"/>
      <c r="O478" s="11"/>
      <c r="P478" s="712" t="s">
        <v>176</v>
      </c>
      <c r="Q478" s="713">
        <v>42459</v>
      </c>
    </row>
    <row r="479" spans="1:17" s="12" customFormat="1" x14ac:dyDescent="0.25">
      <c r="B479" s="11"/>
      <c r="C479"/>
      <c r="D479"/>
      <c r="E479"/>
      <c r="F479"/>
      <c r="G479"/>
      <c r="H479"/>
      <c r="I479"/>
      <c r="J479"/>
      <c r="K479"/>
      <c r="L479"/>
      <c r="M479" s="11"/>
      <c r="N479" s="11"/>
      <c r="O479" s="11"/>
      <c r="P479" s="712" t="s">
        <v>708</v>
      </c>
      <c r="Q479" s="713" t="s">
        <v>619</v>
      </c>
    </row>
    <row r="480" spans="1:17" s="12" customFormat="1" x14ac:dyDescent="0.25">
      <c r="B480" s="11"/>
      <c r="C480"/>
      <c r="D480"/>
      <c r="E480"/>
      <c r="F480"/>
      <c r="G480"/>
      <c r="H480"/>
      <c r="I480"/>
      <c r="J480"/>
      <c r="K480"/>
      <c r="L480"/>
      <c r="M480" s="11"/>
      <c r="N480" s="11"/>
      <c r="O480" s="11"/>
      <c r="P480" s="712" t="s">
        <v>274</v>
      </c>
      <c r="Q480" s="713">
        <v>42459</v>
      </c>
    </row>
    <row r="481" spans="2:17" s="12" customFormat="1" x14ac:dyDescent="0.25">
      <c r="B481" s="11"/>
      <c r="C481"/>
      <c r="D481"/>
      <c r="E481"/>
      <c r="F481"/>
      <c r="G481"/>
      <c r="H481"/>
      <c r="I481"/>
      <c r="J481"/>
      <c r="K481"/>
      <c r="L481"/>
      <c r="M481" s="11"/>
      <c r="N481" s="11"/>
      <c r="O481" s="11"/>
      <c r="P481" s="712" t="s">
        <v>177</v>
      </c>
      <c r="Q481" s="713">
        <v>42459</v>
      </c>
    </row>
    <row r="482" spans="2:17" s="12" customFormat="1" x14ac:dyDescent="0.25">
      <c r="B482" s="11"/>
      <c r="C482"/>
      <c r="D482"/>
      <c r="E482"/>
      <c r="F482"/>
      <c r="G482"/>
      <c r="H482"/>
      <c r="I482"/>
      <c r="J482"/>
      <c r="K482"/>
      <c r="L482"/>
      <c r="M482" s="11"/>
      <c r="N482" s="11"/>
      <c r="O482" s="11"/>
      <c r="P482" s="712" t="s">
        <v>454</v>
      </c>
      <c r="Q482" s="713">
        <v>42459</v>
      </c>
    </row>
    <row r="483" spans="2:17" s="12" customFormat="1" x14ac:dyDescent="0.25">
      <c r="B483" s="11"/>
      <c r="C483"/>
      <c r="D483"/>
      <c r="E483"/>
      <c r="F483"/>
      <c r="G483"/>
      <c r="H483"/>
      <c r="I483"/>
      <c r="J483"/>
      <c r="K483"/>
      <c r="L483"/>
      <c r="M483" s="11"/>
      <c r="N483" s="11"/>
      <c r="O483" s="11"/>
      <c r="P483" s="712" t="s">
        <v>178</v>
      </c>
      <c r="Q483" s="713">
        <v>42459</v>
      </c>
    </row>
    <row r="484" spans="2:17" s="12" customFormat="1" x14ac:dyDescent="0.25">
      <c r="B484" s="11"/>
      <c r="C484"/>
      <c r="D484"/>
      <c r="E484"/>
      <c r="F484"/>
      <c r="G484"/>
      <c r="H484"/>
      <c r="I484"/>
      <c r="J484"/>
      <c r="K484"/>
      <c r="L484"/>
      <c r="M484" s="11"/>
      <c r="N484" s="11"/>
      <c r="O484" s="11"/>
      <c r="P484" s="712" t="s">
        <v>656</v>
      </c>
      <c r="Q484" s="713">
        <v>42521</v>
      </c>
    </row>
    <row r="485" spans="2:17" s="12" customFormat="1" x14ac:dyDescent="0.25">
      <c r="B485" s="11"/>
      <c r="C485"/>
      <c r="D485"/>
      <c r="E485"/>
      <c r="F485"/>
      <c r="G485"/>
      <c r="H485"/>
      <c r="I485"/>
      <c r="J485"/>
      <c r="K485"/>
      <c r="L485"/>
      <c r="M485" s="11"/>
      <c r="N485" s="11"/>
      <c r="O485" s="11"/>
      <c r="P485" s="712" t="s">
        <v>774</v>
      </c>
      <c r="Q485" s="713">
        <v>42521</v>
      </c>
    </row>
    <row r="486" spans="2:17" s="12" customFormat="1" x14ac:dyDescent="0.25">
      <c r="B486" s="11"/>
      <c r="C486"/>
      <c r="D486"/>
      <c r="E486"/>
      <c r="F486"/>
      <c r="G486"/>
      <c r="H486"/>
      <c r="I486"/>
      <c r="J486"/>
      <c r="K486"/>
      <c r="L486"/>
      <c r="M486" s="11"/>
      <c r="N486" s="11"/>
      <c r="O486" s="11"/>
      <c r="P486" s="712" t="s">
        <v>179</v>
      </c>
      <c r="Q486" s="713">
        <v>42521</v>
      </c>
    </row>
    <row r="487" spans="2:17" s="12" customFormat="1" x14ac:dyDescent="0.25">
      <c r="B487" s="11"/>
      <c r="C487"/>
      <c r="D487"/>
      <c r="E487"/>
      <c r="F487"/>
      <c r="G487"/>
      <c r="H487"/>
      <c r="I487"/>
      <c r="J487"/>
      <c r="K487"/>
      <c r="L487"/>
      <c r="M487" s="11"/>
      <c r="N487" s="11"/>
      <c r="O487" s="11"/>
      <c r="P487" s="712" t="s">
        <v>180</v>
      </c>
      <c r="Q487" s="713">
        <v>42459</v>
      </c>
    </row>
    <row r="488" spans="2:17" s="12" customFormat="1" x14ac:dyDescent="0.25">
      <c r="B488" s="11"/>
      <c r="C488"/>
      <c r="D488"/>
      <c r="E488"/>
      <c r="F488"/>
      <c r="G488"/>
      <c r="H488"/>
      <c r="I488"/>
      <c r="J488"/>
      <c r="K488"/>
      <c r="L488"/>
      <c r="M488" s="11"/>
      <c r="N488" s="11"/>
      <c r="O488" s="11"/>
      <c r="P488" s="712" t="s">
        <v>464</v>
      </c>
      <c r="Q488" s="713" t="s">
        <v>619</v>
      </c>
    </row>
    <row r="489" spans="2:17" s="12" customFormat="1" x14ac:dyDescent="0.25">
      <c r="B489" s="11"/>
      <c r="C489"/>
      <c r="D489"/>
      <c r="E489"/>
      <c r="F489"/>
      <c r="G489"/>
      <c r="H489"/>
      <c r="I489"/>
      <c r="J489"/>
      <c r="K489"/>
      <c r="L489"/>
      <c r="M489" s="11"/>
      <c r="N489" s="11"/>
      <c r="O489" s="11"/>
      <c r="P489" s="712" t="s">
        <v>105</v>
      </c>
      <c r="Q489" s="713">
        <v>42429</v>
      </c>
    </row>
    <row r="490" spans="2:17" s="12" customFormat="1" x14ac:dyDescent="0.25">
      <c r="B490" s="11"/>
      <c r="C490"/>
      <c r="D490"/>
      <c r="E490"/>
      <c r="F490"/>
      <c r="G490"/>
      <c r="H490"/>
      <c r="I490"/>
      <c r="J490"/>
      <c r="K490"/>
      <c r="L490"/>
      <c r="M490" s="11"/>
      <c r="N490" s="11"/>
      <c r="O490" s="11"/>
      <c r="P490" s="712" t="s">
        <v>216</v>
      </c>
      <c r="Q490" s="713" t="s">
        <v>619</v>
      </c>
    </row>
    <row r="491" spans="2:17" s="12" customFormat="1" x14ac:dyDescent="0.25">
      <c r="B491" s="11"/>
      <c r="C491"/>
      <c r="D491"/>
      <c r="E491"/>
      <c r="F491"/>
      <c r="G491"/>
      <c r="H491"/>
      <c r="I491"/>
      <c r="J491"/>
      <c r="K491"/>
      <c r="L491"/>
      <c r="M491" s="11"/>
      <c r="N491" s="11"/>
      <c r="O491" s="11"/>
      <c r="P491" s="712" t="s">
        <v>106</v>
      </c>
      <c r="Q491" s="713">
        <v>42369</v>
      </c>
    </row>
    <row r="492" spans="2:17" s="12" customFormat="1" x14ac:dyDescent="0.25">
      <c r="B492" s="11"/>
      <c r="C492"/>
      <c r="D492"/>
      <c r="E492"/>
      <c r="F492"/>
      <c r="G492"/>
      <c r="H492"/>
      <c r="I492"/>
      <c r="J492"/>
      <c r="K492"/>
      <c r="L492"/>
      <c r="M492" s="11"/>
      <c r="N492" s="11"/>
      <c r="O492" s="11"/>
      <c r="P492" s="712" t="s">
        <v>282</v>
      </c>
      <c r="Q492" s="713">
        <v>42369</v>
      </c>
    </row>
    <row r="493" spans="2:17" s="12" customFormat="1" x14ac:dyDescent="0.25">
      <c r="B493" s="11"/>
      <c r="C493"/>
      <c r="D493"/>
      <c r="E493"/>
      <c r="F493"/>
      <c r="G493"/>
      <c r="H493"/>
      <c r="I493"/>
      <c r="J493"/>
      <c r="K493"/>
      <c r="L493"/>
      <c r="M493" s="11"/>
      <c r="N493" s="11"/>
      <c r="O493" s="11"/>
      <c r="P493" s="712" t="s">
        <v>718</v>
      </c>
      <c r="Q493" s="713">
        <v>42369</v>
      </c>
    </row>
    <row r="494" spans="2:17" s="12" customFormat="1" x14ac:dyDescent="0.25">
      <c r="B494" s="11"/>
      <c r="C494"/>
      <c r="D494"/>
      <c r="E494"/>
      <c r="F494"/>
      <c r="G494"/>
      <c r="H494"/>
      <c r="I494"/>
      <c r="J494"/>
      <c r="K494"/>
      <c r="L494"/>
      <c r="M494" s="11"/>
      <c r="N494" s="11"/>
      <c r="O494" s="11"/>
      <c r="P494" s="712" t="s">
        <v>108</v>
      </c>
      <c r="Q494" s="713">
        <v>42456</v>
      </c>
    </row>
    <row r="495" spans="2:17" x14ac:dyDescent="0.25">
      <c r="C495"/>
      <c r="D495"/>
      <c r="E495"/>
      <c r="F495"/>
      <c r="G495"/>
      <c r="H495"/>
      <c r="I495"/>
      <c r="J495"/>
      <c r="K495"/>
      <c r="L495"/>
      <c r="P495" s="712" t="s">
        <v>109</v>
      </c>
      <c r="Q495" s="713">
        <v>42369</v>
      </c>
    </row>
    <row r="496" spans="2:17" x14ac:dyDescent="0.25">
      <c r="C496"/>
      <c r="D496"/>
      <c r="E496"/>
      <c r="F496"/>
      <c r="G496"/>
      <c r="H496"/>
      <c r="I496"/>
      <c r="J496"/>
      <c r="K496"/>
      <c r="L496"/>
      <c r="P496" s="712" t="s">
        <v>110</v>
      </c>
      <c r="Q496" s="713">
        <v>42456</v>
      </c>
    </row>
    <row r="497" spans="3:17" x14ac:dyDescent="0.25">
      <c r="C497"/>
      <c r="D497"/>
      <c r="E497"/>
      <c r="F497"/>
      <c r="G497"/>
      <c r="H497"/>
      <c r="I497"/>
      <c r="J497"/>
      <c r="K497"/>
      <c r="L497"/>
      <c r="P497" s="712" t="s">
        <v>111</v>
      </c>
      <c r="Q497" s="713">
        <v>42456</v>
      </c>
    </row>
    <row r="498" spans="3:17" x14ac:dyDescent="0.25">
      <c r="C498"/>
      <c r="D498"/>
      <c r="E498"/>
      <c r="F498"/>
      <c r="G498"/>
      <c r="H498"/>
      <c r="I498"/>
      <c r="J498"/>
      <c r="K498"/>
      <c r="L498"/>
      <c r="P498" s="712" t="s">
        <v>112</v>
      </c>
      <c r="Q498" s="713">
        <v>42456</v>
      </c>
    </row>
    <row r="499" spans="3:17" x14ac:dyDescent="0.25">
      <c r="C499"/>
      <c r="D499"/>
      <c r="E499"/>
      <c r="F499"/>
      <c r="G499"/>
      <c r="H499"/>
      <c r="I499"/>
      <c r="J499"/>
      <c r="K499"/>
      <c r="L499"/>
      <c r="P499" s="712" t="s">
        <v>827</v>
      </c>
      <c r="Q499" s="713">
        <v>42456</v>
      </c>
    </row>
    <row r="500" spans="3:17" x14ac:dyDescent="0.25">
      <c r="C500"/>
      <c r="D500"/>
      <c r="E500"/>
      <c r="F500"/>
      <c r="G500"/>
      <c r="H500"/>
      <c r="I500"/>
      <c r="J500"/>
      <c r="K500"/>
      <c r="L500"/>
      <c r="P500" s="712" t="s">
        <v>113</v>
      </c>
      <c r="Q500" s="713">
        <v>42456</v>
      </c>
    </row>
    <row r="501" spans="3:17" x14ac:dyDescent="0.25">
      <c r="C501"/>
      <c r="D501"/>
      <c r="E501"/>
      <c r="F501"/>
      <c r="G501"/>
      <c r="H501"/>
      <c r="I501"/>
      <c r="J501"/>
      <c r="K501"/>
      <c r="L501"/>
      <c r="P501" s="712" t="s">
        <v>114</v>
      </c>
      <c r="Q501" s="713">
        <v>42456</v>
      </c>
    </row>
    <row r="502" spans="3:17" x14ac:dyDescent="0.25">
      <c r="C502"/>
      <c r="D502"/>
      <c r="E502"/>
      <c r="F502"/>
      <c r="G502"/>
      <c r="H502"/>
      <c r="I502"/>
      <c r="J502"/>
      <c r="K502"/>
      <c r="L502"/>
      <c r="P502" s="712" t="s">
        <v>223</v>
      </c>
      <c r="Q502" s="713">
        <v>42400</v>
      </c>
    </row>
    <row r="503" spans="3:17" x14ac:dyDescent="0.25">
      <c r="C503"/>
      <c r="D503"/>
      <c r="E503"/>
      <c r="F503"/>
      <c r="G503"/>
      <c r="H503"/>
      <c r="I503"/>
      <c r="J503"/>
      <c r="K503"/>
      <c r="L503"/>
      <c r="P503" s="712" t="s">
        <v>115</v>
      </c>
      <c r="Q503" s="713">
        <v>42456</v>
      </c>
    </row>
    <row r="504" spans="3:17" x14ac:dyDescent="0.25">
      <c r="C504"/>
      <c r="D504"/>
      <c r="E504"/>
      <c r="F504"/>
      <c r="G504"/>
      <c r="H504"/>
      <c r="I504"/>
      <c r="J504"/>
      <c r="K504"/>
      <c r="L504"/>
      <c r="P504" s="712" t="s">
        <v>249</v>
      </c>
      <c r="Q504" s="713">
        <v>42456</v>
      </c>
    </row>
    <row r="505" spans="3:17" x14ac:dyDescent="0.25">
      <c r="C505"/>
      <c r="D505"/>
      <c r="E505"/>
      <c r="F505"/>
      <c r="G505"/>
      <c r="H505"/>
      <c r="I505"/>
      <c r="J505"/>
      <c r="K505"/>
      <c r="L505"/>
      <c r="P505" s="712" t="s">
        <v>714</v>
      </c>
      <c r="Q505" s="713">
        <v>42456</v>
      </c>
    </row>
    <row r="506" spans="3:17" x14ac:dyDescent="0.25">
      <c r="C506"/>
      <c r="D506"/>
      <c r="E506"/>
      <c r="F506"/>
      <c r="G506"/>
      <c r="H506"/>
      <c r="I506"/>
      <c r="J506"/>
      <c r="K506"/>
      <c r="L506"/>
      <c r="P506" s="712" t="s">
        <v>116</v>
      </c>
      <c r="Q506" s="713">
        <v>42456</v>
      </c>
    </row>
    <row r="507" spans="3:17" x14ac:dyDescent="0.25">
      <c r="C507"/>
      <c r="D507"/>
      <c r="E507"/>
      <c r="F507"/>
      <c r="G507"/>
      <c r="H507"/>
      <c r="I507"/>
      <c r="J507"/>
      <c r="K507"/>
      <c r="L507"/>
      <c r="P507" s="712" t="s">
        <v>117</v>
      </c>
      <c r="Q507" s="713">
        <v>42456</v>
      </c>
    </row>
    <row r="508" spans="3:17" x14ac:dyDescent="0.25">
      <c r="C508"/>
      <c r="D508"/>
      <c r="E508"/>
      <c r="F508"/>
      <c r="G508"/>
      <c r="H508"/>
      <c r="I508"/>
      <c r="J508"/>
      <c r="K508"/>
      <c r="L508"/>
      <c r="P508" s="712" t="s">
        <v>118</v>
      </c>
      <c r="Q508" s="713">
        <v>42456</v>
      </c>
    </row>
    <row r="509" spans="3:17" x14ac:dyDescent="0.25">
      <c r="C509"/>
      <c r="D509"/>
      <c r="E509"/>
      <c r="F509"/>
      <c r="G509"/>
      <c r="H509"/>
      <c r="I509"/>
      <c r="J509"/>
      <c r="K509"/>
      <c r="L509"/>
      <c r="P509" s="712" t="s">
        <v>224</v>
      </c>
      <c r="Q509" s="713">
        <v>42456</v>
      </c>
    </row>
    <row r="510" spans="3:17" x14ac:dyDescent="0.25">
      <c r="C510"/>
      <c r="D510"/>
      <c r="E510"/>
      <c r="F510"/>
      <c r="G510"/>
      <c r="H510"/>
      <c r="I510"/>
      <c r="J510"/>
      <c r="K510"/>
      <c r="L510"/>
      <c r="P510" s="712" t="s">
        <v>119</v>
      </c>
      <c r="Q510" s="713">
        <v>42369</v>
      </c>
    </row>
    <row r="511" spans="3:17" x14ac:dyDescent="0.25">
      <c r="C511"/>
      <c r="D511"/>
      <c r="E511"/>
      <c r="F511"/>
      <c r="G511"/>
      <c r="H511"/>
      <c r="I511"/>
      <c r="J511"/>
      <c r="K511"/>
      <c r="L511"/>
      <c r="P511" s="712" t="s">
        <v>120</v>
      </c>
      <c r="Q511" s="713">
        <v>42456</v>
      </c>
    </row>
    <row r="512" spans="3:17" x14ac:dyDescent="0.25">
      <c r="C512"/>
      <c r="D512"/>
      <c r="E512"/>
      <c r="F512"/>
      <c r="G512"/>
      <c r="H512"/>
      <c r="I512"/>
      <c r="J512"/>
      <c r="K512"/>
      <c r="L512"/>
      <c r="P512" s="712" t="s">
        <v>121</v>
      </c>
      <c r="Q512" s="713">
        <v>42456</v>
      </c>
    </row>
    <row r="513" spans="3:17" x14ac:dyDescent="0.25">
      <c r="C513"/>
      <c r="D513"/>
      <c r="E513"/>
      <c r="F513"/>
      <c r="G513"/>
      <c r="H513"/>
      <c r="I513"/>
      <c r="J513"/>
      <c r="K513"/>
      <c r="L513"/>
      <c r="P513" s="712" t="s">
        <v>122</v>
      </c>
      <c r="Q513" s="713">
        <v>42456</v>
      </c>
    </row>
    <row r="514" spans="3:17" x14ac:dyDescent="0.25">
      <c r="C514"/>
      <c r="D514"/>
      <c r="E514"/>
      <c r="F514"/>
      <c r="G514"/>
      <c r="H514"/>
      <c r="I514"/>
      <c r="J514"/>
      <c r="K514"/>
      <c r="L514"/>
      <c r="P514" s="712" t="s">
        <v>123</v>
      </c>
      <c r="Q514" s="713">
        <v>42456</v>
      </c>
    </row>
    <row r="515" spans="3:17" x14ac:dyDescent="0.25">
      <c r="C515"/>
      <c r="D515"/>
      <c r="E515"/>
      <c r="F515"/>
      <c r="G515"/>
      <c r="H515"/>
      <c r="I515"/>
      <c r="J515"/>
      <c r="K515"/>
      <c r="L515"/>
      <c r="P515" s="712" t="s">
        <v>763</v>
      </c>
      <c r="Q515" s="713">
        <v>42521</v>
      </c>
    </row>
    <row r="516" spans="3:17" x14ac:dyDescent="0.25">
      <c r="C516"/>
      <c r="D516"/>
      <c r="E516"/>
      <c r="F516"/>
      <c r="G516"/>
      <c r="H516"/>
      <c r="I516"/>
      <c r="J516"/>
      <c r="K516"/>
      <c r="L516"/>
      <c r="P516" s="712" t="s">
        <v>226</v>
      </c>
      <c r="Q516" s="713">
        <v>42460</v>
      </c>
    </row>
    <row r="517" spans="3:17" x14ac:dyDescent="0.25">
      <c r="C517"/>
      <c r="D517"/>
      <c r="E517"/>
      <c r="F517"/>
      <c r="G517"/>
      <c r="H517"/>
      <c r="I517"/>
      <c r="J517"/>
      <c r="K517"/>
      <c r="L517"/>
      <c r="P517" s="712" t="s">
        <v>125</v>
      </c>
      <c r="Q517" s="713">
        <v>42429</v>
      </c>
    </row>
    <row r="518" spans="3:17" x14ac:dyDescent="0.25">
      <c r="C518"/>
      <c r="D518"/>
      <c r="E518"/>
      <c r="F518"/>
      <c r="G518"/>
      <c r="H518"/>
      <c r="I518"/>
      <c r="J518"/>
      <c r="K518"/>
      <c r="L518"/>
      <c r="P518" s="712" t="s">
        <v>201</v>
      </c>
      <c r="Q518" s="713">
        <v>42460</v>
      </c>
    </row>
    <row r="519" spans="3:17" x14ac:dyDescent="0.25">
      <c r="C519"/>
      <c r="D519"/>
      <c r="E519"/>
      <c r="F519"/>
      <c r="G519"/>
      <c r="H519"/>
      <c r="I519"/>
      <c r="J519"/>
      <c r="K519"/>
      <c r="L519"/>
      <c r="P519" s="712" t="s">
        <v>202</v>
      </c>
      <c r="Q519" s="713">
        <v>42460</v>
      </c>
    </row>
    <row r="520" spans="3:17" x14ac:dyDescent="0.25">
      <c r="C520"/>
      <c r="D520"/>
      <c r="E520"/>
      <c r="F520"/>
      <c r="G520"/>
      <c r="H520"/>
      <c r="I520"/>
      <c r="J520"/>
      <c r="K520"/>
      <c r="L520"/>
      <c r="P520" s="712" t="s">
        <v>203</v>
      </c>
      <c r="Q520" s="713">
        <v>42369</v>
      </c>
    </row>
    <row r="521" spans="3:17" x14ac:dyDescent="0.25">
      <c r="C521"/>
      <c r="D521"/>
      <c r="E521"/>
      <c r="F521"/>
      <c r="G521"/>
      <c r="H521"/>
      <c r="I521"/>
      <c r="J521"/>
      <c r="K521"/>
      <c r="L521"/>
      <c r="P521" s="712" t="s">
        <v>204</v>
      </c>
      <c r="Q521" s="713">
        <v>42460</v>
      </c>
    </row>
    <row r="522" spans="3:17" x14ac:dyDescent="0.25">
      <c r="C522"/>
      <c r="D522"/>
      <c r="E522"/>
      <c r="F522"/>
      <c r="G522"/>
      <c r="H522"/>
      <c r="I522"/>
      <c r="J522"/>
      <c r="K522"/>
      <c r="L522"/>
      <c r="P522" s="712" t="s">
        <v>205</v>
      </c>
      <c r="Q522" s="713">
        <v>42460</v>
      </c>
    </row>
    <row r="523" spans="3:17" x14ac:dyDescent="0.25">
      <c r="C523"/>
      <c r="D523"/>
      <c r="E523"/>
      <c r="F523"/>
      <c r="G523"/>
      <c r="H523"/>
      <c r="I523"/>
      <c r="J523"/>
      <c r="K523"/>
      <c r="L523"/>
      <c r="P523" s="712" t="s">
        <v>206</v>
      </c>
      <c r="Q523" s="713">
        <v>42369</v>
      </c>
    </row>
    <row r="524" spans="3:17" x14ac:dyDescent="0.25">
      <c r="C524"/>
      <c r="D524"/>
      <c r="E524"/>
      <c r="F524"/>
      <c r="G524"/>
      <c r="H524"/>
      <c r="I524"/>
      <c r="J524"/>
      <c r="K524"/>
      <c r="L524"/>
      <c r="P524" s="712" t="s">
        <v>207</v>
      </c>
      <c r="Q524" s="713">
        <v>42460</v>
      </c>
    </row>
    <row r="525" spans="3:17" x14ac:dyDescent="0.25">
      <c r="C525"/>
      <c r="D525"/>
      <c r="E525"/>
      <c r="F525"/>
      <c r="G525"/>
      <c r="H525"/>
      <c r="I525"/>
      <c r="J525"/>
      <c r="K525"/>
      <c r="L525"/>
      <c r="P525" s="712" t="s">
        <v>723</v>
      </c>
      <c r="Q525" s="713">
        <v>42460</v>
      </c>
    </row>
    <row r="526" spans="3:17" x14ac:dyDescent="0.25">
      <c r="C526"/>
      <c r="D526"/>
      <c r="E526"/>
      <c r="F526"/>
      <c r="G526"/>
      <c r="H526"/>
      <c r="I526"/>
      <c r="J526"/>
      <c r="K526"/>
      <c r="L526"/>
      <c r="P526" s="712" t="s">
        <v>208</v>
      </c>
      <c r="Q526" s="713">
        <v>42460</v>
      </c>
    </row>
    <row r="527" spans="3:17" x14ac:dyDescent="0.25">
      <c r="C527"/>
      <c r="D527"/>
      <c r="E527"/>
      <c r="F527"/>
      <c r="G527"/>
      <c r="H527"/>
      <c r="I527"/>
      <c r="J527"/>
      <c r="K527"/>
      <c r="L527"/>
      <c r="P527" s="712" t="s">
        <v>606</v>
      </c>
      <c r="Q527" s="713">
        <v>42460</v>
      </c>
    </row>
    <row r="528" spans="3:17" x14ac:dyDescent="0.25">
      <c r="C528"/>
      <c r="D528"/>
      <c r="E528"/>
      <c r="F528"/>
      <c r="G528"/>
      <c r="H528"/>
      <c r="I528"/>
      <c r="J528"/>
      <c r="K528"/>
      <c r="L528"/>
      <c r="P528" s="712" t="s">
        <v>607</v>
      </c>
      <c r="Q528" s="713">
        <v>42460</v>
      </c>
    </row>
    <row r="529" spans="3:17" x14ac:dyDescent="0.25">
      <c r="C529"/>
      <c r="D529"/>
      <c r="E529"/>
      <c r="F529"/>
      <c r="G529"/>
      <c r="H529"/>
      <c r="I529"/>
      <c r="J529"/>
      <c r="K529"/>
      <c r="L529"/>
      <c r="P529" s="712" t="s">
        <v>706</v>
      </c>
      <c r="Q529" s="713">
        <v>42460</v>
      </c>
    </row>
    <row r="530" spans="3:17" x14ac:dyDescent="0.25">
      <c r="C530"/>
      <c r="D530"/>
      <c r="E530"/>
      <c r="F530"/>
      <c r="G530"/>
      <c r="H530"/>
      <c r="I530"/>
      <c r="J530"/>
      <c r="K530"/>
      <c r="L530"/>
      <c r="P530" s="712" t="s">
        <v>658</v>
      </c>
      <c r="Q530" s="713">
        <v>42460</v>
      </c>
    </row>
    <row r="531" spans="3:17" x14ac:dyDescent="0.25">
      <c r="C531"/>
      <c r="D531"/>
      <c r="E531"/>
      <c r="F531"/>
      <c r="G531"/>
      <c r="H531"/>
      <c r="I531"/>
      <c r="J531"/>
      <c r="K531"/>
      <c r="L531"/>
      <c r="P531" s="712" t="s">
        <v>775</v>
      </c>
      <c r="Q531" s="713">
        <v>42460</v>
      </c>
    </row>
    <row r="532" spans="3:17" x14ac:dyDescent="0.25">
      <c r="C532"/>
      <c r="D532"/>
      <c r="E532"/>
      <c r="F532"/>
      <c r="G532"/>
      <c r="H532"/>
      <c r="I532"/>
      <c r="J532"/>
      <c r="K532"/>
      <c r="L532"/>
      <c r="P532" s="712" t="s">
        <v>311</v>
      </c>
      <c r="Q532" s="713" t="s">
        <v>619</v>
      </c>
    </row>
    <row r="533" spans="3:17" x14ac:dyDescent="0.25">
      <c r="C533"/>
      <c r="D533"/>
      <c r="E533"/>
      <c r="F533"/>
      <c r="G533"/>
      <c r="H533"/>
      <c r="I533"/>
      <c r="J533"/>
      <c r="K533"/>
      <c r="L533"/>
      <c r="P533" s="712" t="s">
        <v>312</v>
      </c>
      <c r="Q533" s="713" t="s">
        <v>619</v>
      </c>
    </row>
    <row r="534" spans="3:17" x14ac:dyDescent="0.25">
      <c r="C534"/>
      <c r="D534"/>
      <c r="E534"/>
      <c r="F534"/>
      <c r="G534"/>
      <c r="H534"/>
      <c r="I534"/>
      <c r="J534"/>
      <c r="K534"/>
      <c r="L534"/>
      <c r="P534" s="712" t="s">
        <v>278</v>
      </c>
      <c r="Q534" s="713">
        <v>42460</v>
      </c>
    </row>
    <row r="535" spans="3:17" x14ac:dyDescent="0.25">
      <c r="C535"/>
      <c r="D535"/>
      <c r="E535"/>
      <c r="F535"/>
      <c r="G535"/>
      <c r="H535"/>
      <c r="I535"/>
      <c r="J535"/>
      <c r="K535"/>
      <c r="L535"/>
      <c r="P535" s="712" t="s">
        <v>279</v>
      </c>
      <c r="Q535" s="713">
        <v>42460</v>
      </c>
    </row>
    <row r="536" spans="3:17" x14ac:dyDescent="0.25">
      <c r="C536"/>
      <c r="D536"/>
      <c r="E536"/>
      <c r="F536"/>
      <c r="G536"/>
      <c r="H536"/>
      <c r="I536"/>
      <c r="J536"/>
      <c r="K536"/>
      <c r="L536"/>
      <c r="P536" s="712" t="s">
        <v>280</v>
      </c>
      <c r="Q536" s="713">
        <v>42459</v>
      </c>
    </row>
    <row r="537" spans="3:17" x14ac:dyDescent="0.25">
      <c r="C537"/>
      <c r="D537"/>
      <c r="E537"/>
      <c r="F537"/>
      <c r="G537"/>
      <c r="H537"/>
      <c r="I537"/>
      <c r="J537"/>
      <c r="K537"/>
      <c r="L537"/>
      <c r="P537" s="712" t="s">
        <v>719</v>
      </c>
      <c r="Q537" s="713" t="s">
        <v>619</v>
      </c>
    </row>
    <row r="538" spans="3:17" x14ac:dyDescent="0.25">
      <c r="C538"/>
      <c r="D538"/>
      <c r="E538"/>
      <c r="F538"/>
      <c r="G538"/>
      <c r="H538"/>
      <c r="I538"/>
      <c r="J538"/>
      <c r="K538"/>
      <c r="L538"/>
      <c r="P538" s="712" t="s">
        <v>614</v>
      </c>
      <c r="Q538" s="713">
        <v>42460</v>
      </c>
    </row>
    <row r="539" spans="3:17" x14ac:dyDescent="0.25">
      <c r="C539"/>
      <c r="D539"/>
      <c r="E539"/>
      <c r="F539"/>
      <c r="G539"/>
      <c r="H539"/>
      <c r="I539"/>
      <c r="J539"/>
      <c r="K539"/>
      <c r="L539"/>
      <c r="P539" s="712" t="s">
        <v>618</v>
      </c>
      <c r="Q539" s="713">
        <v>42369</v>
      </c>
    </row>
    <row r="540" spans="3:17" x14ac:dyDescent="0.25">
      <c r="C540"/>
      <c r="D540"/>
      <c r="E540"/>
      <c r="F540"/>
      <c r="G540"/>
      <c r="H540"/>
      <c r="I540"/>
      <c r="J540"/>
      <c r="K540"/>
      <c r="L540"/>
      <c r="P540" s="712" t="s">
        <v>616</v>
      </c>
      <c r="Q540" s="713">
        <v>42460</v>
      </c>
    </row>
    <row r="541" spans="3:17" x14ac:dyDescent="0.25">
      <c r="C541"/>
      <c r="D541"/>
      <c r="E541"/>
      <c r="F541"/>
      <c r="G541"/>
      <c r="H541"/>
      <c r="I541"/>
      <c r="J541"/>
      <c r="K541"/>
      <c r="L541"/>
      <c r="P541" s="712" t="s">
        <v>617</v>
      </c>
      <c r="Q541" s="713">
        <v>42369</v>
      </c>
    </row>
    <row r="542" spans="3:17" x14ac:dyDescent="0.25">
      <c r="C542"/>
      <c r="D542"/>
      <c r="E542"/>
      <c r="F542"/>
      <c r="G542"/>
      <c r="H542"/>
      <c r="I542"/>
      <c r="J542"/>
      <c r="K542"/>
      <c r="L542"/>
      <c r="P542" s="712" t="s">
        <v>126</v>
      </c>
      <c r="Q542" s="713">
        <v>42400</v>
      </c>
    </row>
    <row r="543" spans="3:17" x14ac:dyDescent="0.25">
      <c r="C543"/>
      <c r="D543"/>
      <c r="E543"/>
      <c r="F543"/>
      <c r="G543"/>
      <c r="H543"/>
      <c r="I543"/>
      <c r="J543"/>
      <c r="K543"/>
      <c r="L543"/>
      <c r="P543" s="712" t="s">
        <v>769</v>
      </c>
      <c r="Q543" s="713">
        <v>42429</v>
      </c>
    </row>
    <row r="544" spans="3:17" x14ac:dyDescent="0.25">
      <c r="C544"/>
      <c r="D544"/>
      <c r="E544"/>
      <c r="F544"/>
      <c r="G544"/>
      <c r="H544"/>
      <c r="I544"/>
      <c r="J544"/>
      <c r="K544"/>
      <c r="L544"/>
      <c r="P544" s="712" t="s">
        <v>127</v>
      </c>
      <c r="Q544" s="713">
        <v>42400</v>
      </c>
    </row>
    <row r="545" spans="1:22" x14ac:dyDescent="0.25">
      <c r="C545"/>
      <c r="D545"/>
      <c r="E545"/>
      <c r="F545"/>
      <c r="G545"/>
      <c r="H545"/>
      <c r="I545"/>
      <c r="J545"/>
      <c r="K545"/>
      <c r="L545"/>
      <c r="P545" s="712" t="s">
        <v>128</v>
      </c>
      <c r="Q545" s="713">
        <v>42400</v>
      </c>
    </row>
    <row r="546" spans="1:22" x14ac:dyDescent="0.25">
      <c r="C546"/>
      <c r="D546"/>
      <c r="E546"/>
      <c r="F546"/>
      <c r="G546"/>
      <c r="H546"/>
      <c r="I546"/>
      <c r="J546"/>
      <c r="K546"/>
      <c r="L546"/>
      <c r="P546" s="712" t="s">
        <v>767</v>
      </c>
      <c r="Q546" s="713">
        <v>42400</v>
      </c>
    </row>
    <row r="547" spans="1:22" x14ac:dyDescent="0.25">
      <c r="C547"/>
      <c r="D547"/>
      <c r="E547"/>
      <c r="F547"/>
      <c r="G547"/>
      <c r="H547"/>
      <c r="I547"/>
      <c r="J547"/>
      <c r="K547"/>
      <c r="L547"/>
      <c r="P547" s="712" t="s">
        <v>765</v>
      </c>
      <c r="Q547" s="713">
        <v>42400</v>
      </c>
    </row>
    <row r="548" spans="1:22" x14ac:dyDescent="0.25">
      <c r="C548"/>
      <c r="D548"/>
      <c r="E548"/>
      <c r="F548"/>
      <c r="G548"/>
      <c r="H548"/>
      <c r="I548"/>
      <c r="J548"/>
      <c r="K548"/>
      <c r="L548"/>
      <c r="P548" s="712" t="s">
        <v>314</v>
      </c>
      <c r="Q548" s="713">
        <v>42400</v>
      </c>
    </row>
    <row r="549" spans="1:22" x14ac:dyDescent="0.25">
      <c r="C549"/>
      <c r="D549"/>
      <c r="E549"/>
      <c r="F549"/>
      <c r="G549"/>
      <c r="H549"/>
      <c r="I549"/>
      <c r="J549"/>
      <c r="K549"/>
      <c r="L549"/>
      <c r="P549" s="712" t="s">
        <v>130</v>
      </c>
      <c r="Q549" s="713">
        <v>42429</v>
      </c>
    </row>
    <row r="550" spans="1:22" x14ac:dyDescent="0.25">
      <c r="C550"/>
      <c r="D550"/>
      <c r="E550"/>
      <c r="F550"/>
      <c r="G550"/>
      <c r="H550"/>
      <c r="I550"/>
      <c r="J550"/>
      <c r="K550"/>
      <c r="L550"/>
      <c r="P550" s="712" t="s">
        <v>455</v>
      </c>
      <c r="Q550" s="713">
        <v>42459</v>
      </c>
    </row>
    <row r="551" spans="1:22" x14ac:dyDescent="0.25">
      <c r="C551"/>
      <c r="D551"/>
      <c r="E551"/>
      <c r="F551"/>
      <c r="G551"/>
      <c r="H551"/>
      <c r="I551"/>
      <c r="J551"/>
      <c r="K551"/>
      <c r="L551"/>
      <c r="P551" s="712" t="s">
        <v>184</v>
      </c>
      <c r="Q551" s="713">
        <v>42369</v>
      </c>
    </row>
    <row r="552" spans="1:22" x14ac:dyDescent="0.25">
      <c r="C552"/>
      <c r="D552"/>
      <c r="E552"/>
      <c r="F552"/>
      <c r="G552"/>
      <c r="H552"/>
      <c r="I552"/>
      <c r="J552"/>
      <c r="K552"/>
      <c r="L552"/>
      <c r="O552"/>
      <c r="P552" s="712" t="s">
        <v>185</v>
      </c>
      <c r="Q552" s="713">
        <v>42429</v>
      </c>
    </row>
    <row r="553" spans="1:22" x14ac:dyDescent="0.25">
      <c r="C553"/>
      <c r="D553"/>
      <c r="E553"/>
      <c r="F553"/>
      <c r="G553"/>
      <c r="H553"/>
      <c r="I553"/>
      <c r="J553"/>
      <c r="K553"/>
      <c r="L553"/>
      <c r="O553"/>
      <c r="P553" s="712" t="s">
        <v>198</v>
      </c>
      <c r="Q553" s="713">
        <v>42521</v>
      </c>
    </row>
    <row r="554" spans="1:22" x14ac:dyDescent="0.25">
      <c r="A554"/>
      <c r="C554"/>
      <c r="D554"/>
      <c r="E554"/>
      <c r="F554"/>
      <c r="G554"/>
      <c r="H554"/>
      <c r="I554"/>
      <c r="J554"/>
      <c r="K554"/>
      <c r="L554"/>
      <c r="O554"/>
      <c r="P554" s="712" t="s">
        <v>456</v>
      </c>
      <c r="Q554" s="713">
        <v>42459</v>
      </c>
    </row>
    <row r="555" spans="1:22" x14ac:dyDescent="0.25">
      <c r="A555"/>
      <c r="C555"/>
      <c r="D555"/>
      <c r="E555"/>
      <c r="F555"/>
      <c r="G555"/>
      <c r="H555"/>
      <c r="I555"/>
      <c r="J555"/>
      <c r="K555"/>
      <c r="L555"/>
      <c r="O555"/>
      <c r="P555" s="712" t="s">
        <v>457</v>
      </c>
      <c r="Q555" s="713">
        <v>42459</v>
      </c>
    </row>
    <row r="556" spans="1:22" x14ac:dyDescent="0.25">
      <c r="A556"/>
      <c r="C556"/>
      <c r="D556"/>
      <c r="E556"/>
      <c r="F556"/>
      <c r="G556"/>
      <c r="H556"/>
      <c r="I556"/>
      <c r="J556"/>
      <c r="K556"/>
      <c r="L556"/>
      <c r="O556"/>
      <c r="P556" s="712" t="s">
        <v>225</v>
      </c>
      <c r="Q556" s="713" t="s">
        <v>619</v>
      </c>
    </row>
    <row r="557" spans="1:22" x14ac:dyDescent="0.25">
      <c r="A557"/>
      <c r="C557"/>
      <c r="D557"/>
      <c r="E557"/>
      <c r="F557"/>
      <c r="G557"/>
      <c r="H557"/>
      <c r="I557"/>
      <c r="J557"/>
      <c r="K557"/>
      <c r="L557"/>
      <c r="O557"/>
      <c r="P557" s="712" t="s">
        <v>187</v>
      </c>
      <c r="Q557" s="713">
        <v>42521</v>
      </c>
      <c r="R557"/>
      <c r="S557"/>
      <c r="T557"/>
      <c r="U557"/>
      <c r="V557"/>
    </row>
    <row r="558" spans="1:22" x14ac:dyDescent="0.25">
      <c r="A558"/>
      <c r="C558"/>
      <c r="D558"/>
      <c r="E558"/>
      <c r="F558"/>
      <c r="G558"/>
      <c r="H558"/>
      <c r="I558"/>
      <c r="J558"/>
      <c r="K558"/>
      <c r="L558"/>
      <c r="O558"/>
      <c r="P558" s="712" t="s">
        <v>188</v>
      </c>
      <c r="Q558" s="713">
        <v>42521</v>
      </c>
      <c r="R558"/>
      <c r="S558"/>
      <c r="T558"/>
      <c r="U558"/>
      <c r="V558"/>
    </row>
    <row r="559" spans="1:22" x14ac:dyDescent="0.25">
      <c r="A559"/>
      <c r="C559" s="11"/>
      <c r="D559" s="11"/>
      <c r="E559" s="11"/>
      <c r="O559"/>
      <c r="P559" s="712" t="s">
        <v>626</v>
      </c>
      <c r="Q559" s="713">
        <v>42521</v>
      </c>
      <c r="R559"/>
      <c r="S559"/>
      <c r="T559"/>
      <c r="U559"/>
      <c r="V559"/>
    </row>
    <row r="560" spans="1:22" x14ac:dyDescent="0.25">
      <c r="A560"/>
      <c r="B560"/>
      <c r="C560"/>
      <c r="D560"/>
      <c r="E560"/>
      <c r="F560"/>
      <c r="G560"/>
      <c r="H560"/>
      <c r="I560"/>
      <c r="J560"/>
      <c r="K560"/>
      <c r="L560"/>
      <c r="M560"/>
      <c r="N560"/>
      <c r="O560"/>
      <c r="P560" s="712" t="s">
        <v>627</v>
      </c>
      <c r="Q560" s="713">
        <v>42521</v>
      </c>
      <c r="R560"/>
      <c r="S560"/>
      <c r="T560"/>
      <c r="U560"/>
      <c r="V560"/>
    </row>
    <row r="561" spans="1:22" x14ac:dyDescent="0.25">
      <c r="A561"/>
      <c r="B561"/>
      <c r="C561"/>
      <c r="D561"/>
      <c r="E561"/>
      <c r="F561"/>
      <c r="G561"/>
      <c r="H561"/>
      <c r="I561"/>
      <c r="J561"/>
      <c r="K561"/>
      <c r="L561"/>
      <c r="M561"/>
      <c r="N561"/>
      <c r="O561"/>
      <c r="P561" s="712" t="s">
        <v>628</v>
      </c>
      <c r="Q561" s="713">
        <v>42521</v>
      </c>
      <c r="R561"/>
      <c r="S561"/>
      <c r="T561"/>
      <c r="U561"/>
      <c r="V561"/>
    </row>
    <row r="562" spans="1:22" x14ac:dyDescent="0.25">
      <c r="A562"/>
      <c r="B562"/>
      <c r="C562"/>
      <c r="D562"/>
      <c r="E562"/>
      <c r="F562"/>
      <c r="G562"/>
      <c r="H562"/>
      <c r="I562"/>
      <c r="J562"/>
      <c r="K562"/>
      <c r="L562"/>
      <c r="M562"/>
      <c r="N562"/>
      <c r="O562"/>
      <c r="P562" s="712" t="s">
        <v>715</v>
      </c>
      <c r="Q562" s="713">
        <v>42521</v>
      </c>
      <c r="R562"/>
      <c r="S562"/>
      <c r="T562"/>
      <c r="U562"/>
      <c r="V562"/>
    </row>
    <row r="563" spans="1:22" x14ac:dyDescent="0.25">
      <c r="A563"/>
      <c r="B563" s="28" t="s">
        <v>3</v>
      </c>
      <c r="C563" t="s">
        <v>261</v>
      </c>
      <c r="E563"/>
      <c r="F563"/>
      <c r="G563"/>
      <c r="H563"/>
      <c r="I563"/>
      <c r="J563"/>
      <c r="K563"/>
      <c r="L563"/>
      <c r="M563"/>
      <c r="N563"/>
      <c r="O563"/>
      <c r="P563" s="712" t="s">
        <v>315</v>
      </c>
      <c r="Q563" s="713">
        <v>42521</v>
      </c>
      <c r="R563"/>
      <c r="S563"/>
      <c r="T563"/>
      <c r="U563"/>
      <c r="V563"/>
    </row>
    <row r="564" spans="1:22" x14ac:dyDescent="0.25">
      <c r="A564"/>
      <c r="E564"/>
      <c r="F564"/>
      <c r="G564"/>
      <c r="H564"/>
      <c r="I564"/>
      <c r="J564"/>
      <c r="K564"/>
      <c r="L564"/>
      <c r="M564"/>
      <c r="N564"/>
      <c r="O564"/>
      <c r="P564" s="712" t="s">
        <v>474</v>
      </c>
      <c r="Q564" s="713">
        <v>42521</v>
      </c>
      <c r="R564"/>
      <c r="S564"/>
      <c r="T564"/>
      <c r="U564"/>
      <c r="V564"/>
    </row>
    <row r="565" spans="1:22" x14ac:dyDescent="0.25">
      <c r="A565"/>
      <c r="B565" s="28" t="s">
        <v>636</v>
      </c>
      <c r="C565" s="28" t="s">
        <v>248</v>
      </c>
      <c r="D565"/>
      <c r="E565"/>
      <c r="F565"/>
      <c r="G565"/>
      <c r="H565"/>
      <c r="I565"/>
      <c r="J565"/>
      <c r="K565"/>
      <c r="L565"/>
      <c r="M565"/>
      <c r="N565"/>
      <c r="O565"/>
      <c r="P565" s="712" t="s">
        <v>316</v>
      </c>
      <c r="Q565" s="713">
        <v>42521</v>
      </c>
      <c r="R565"/>
      <c r="S565"/>
      <c r="T565"/>
      <c r="U565"/>
      <c r="V565"/>
    </row>
    <row r="566" spans="1:22" x14ac:dyDescent="0.25">
      <c r="A566"/>
      <c r="B566" s="28" t="s">
        <v>236</v>
      </c>
      <c r="C566" t="s">
        <v>637</v>
      </c>
      <c r="D566" t="s">
        <v>638</v>
      </c>
      <c r="E566" t="s">
        <v>73</v>
      </c>
      <c r="F566"/>
      <c r="G566"/>
      <c r="H566"/>
      <c r="I566"/>
      <c r="J566"/>
      <c r="K566"/>
      <c r="L566"/>
      <c r="M566"/>
      <c r="N566"/>
      <c r="O566"/>
      <c r="P566" s="712" t="s">
        <v>189</v>
      </c>
      <c r="Q566" s="713" t="s">
        <v>619</v>
      </c>
      <c r="R566"/>
      <c r="S566"/>
      <c r="T566"/>
      <c r="U566"/>
      <c r="V566"/>
    </row>
    <row r="567" spans="1:22" x14ac:dyDescent="0.25">
      <c r="A567"/>
      <c r="B567" s="25" t="s">
        <v>213</v>
      </c>
      <c r="C567" s="268">
        <v>74</v>
      </c>
      <c r="D567" s="268">
        <v>66</v>
      </c>
      <c r="E567" s="268">
        <v>140</v>
      </c>
      <c r="F567"/>
      <c r="G567"/>
      <c r="H567"/>
      <c r="I567"/>
      <c r="J567"/>
      <c r="K567"/>
      <c r="L567"/>
      <c r="M567"/>
      <c r="N567"/>
      <c r="O567"/>
      <c r="P567" s="712" t="s">
        <v>217</v>
      </c>
      <c r="Q567" s="713">
        <v>42459</v>
      </c>
      <c r="R567"/>
      <c r="S567"/>
      <c r="T567"/>
      <c r="U567"/>
      <c r="V567"/>
    </row>
    <row r="568" spans="1:22" x14ac:dyDescent="0.25">
      <c r="A568"/>
      <c r="B568" s="25" t="s">
        <v>221</v>
      </c>
      <c r="C568" s="268">
        <v>13</v>
      </c>
      <c r="D568" s="268">
        <v>8</v>
      </c>
      <c r="E568" s="268">
        <v>21</v>
      </c>
      <c r="F568"/>
      <c r="G568"/>
      <c r="H568"/>
      <c r="I568"/>
      <c r="J568"/>
      <c r="K568"/>
      <c r="L568"/>
      <c r="M568"/>
      <c r="N568"/>
      <c r="O568"/>
      <c r="P568" s="712" t="s">
        <v>458</v>
      </c>
      <c r="Q568" s="713">
        <v>42521</v>
      </c>
      <c r="R568"/>
      <c r="S568"/>
      <c r="T568"/>
      <c r="U568"/>
      <c r="V568"/>
    </row>
    <row r="569" spans="1:22" x14ac:dyDescent="0.25">
      <c r="A569"/>
      <c r="B569" s="25" t="s">
        <v>73</v>
      </c>
      <c r="C569" s="268">
        <v>87</v>
      </c>
      <c r="D569" s="268">
        <v>74</v>
      </c>
      <c r="E569" s="268">
        <v>161</v>
      </c>
      <c r="F569"/>
      <c r="G569"/>
      <c r="H569"/>
      <c r="I569"/>
      <c r="J569"/>
      <c r="K569"/>
      <c r="L569"/>
      <c r="M569"/>
      <c r="N569"/>
      <c r="O569"/>
      <c r="P569" s="712" t="s">
        <v>190</v>
      </c>
      <c r="Q569" s="713" t="s">
        <v>619</v>
      </c>
      <c r="R569"/>
      <c r="S569"/>
      <c r="T569"/>
      <c r="U569"/>
      <c r="V569"/>
    </row>
    <row r="570" spans="1:22" x14ac:dyDescent="0.25">
      <c r="A570"/>
      <c r="B570"/>
      <c r="C570"/>
      <c r="D570"/>
      <c r="E570"/>
      <c r="F570"/>
      <c r="G570"/>
      <c r="H570"/>
      <c r="I570"/>
      <c r="J570"/>
      <c r="K570"/>
      <c r="L570"/>
      <c r="M570"/>
      <c r="N570"/>
      <c r="O570"/>
      <c r="P570" s="712" t="s">
        <v>191</v>
      </c>
      <c r="Q570" s="713">
        <v>42459</v>
      </c>
      <c r="R570"/>
      <c r="S570"/>
      <c r="T570"/>
      <c r="U570"/>
      <c r="V570"/>
    </row>
    <row r="571" spans="1:22" x14ac:dyDescent="0.25">
      <c r="A571"/>
      <c r="B571"/>
      <c r="C571"/>
      <c r="D571"/>
      <c r="E571"/>
      <c r="F571"/>
      <c r="G571"/>
      <c r="H571"/>
      <c r="I571"/>
      <c r="J571"/>
      <c r="K571"/>
      <c r="L571"/>
      <c r="M571"/>
      <c r="N571"/>
      <c r="O571"/>
      <c r="P571" s="712" t="s">
        <v>192</v>
      </c>
      <c r="Q571" s="713">
        <v>42459</v>
      </c>
      <c r="R571"/>
      <c r="S571"/>
      <c r="T571"/>
      <c r="U571"/>
      <c r="V571"/>
    </row>
    <row r="572" spans="1:22" x14ac:dyDescent="0.25">
      <c r="A572"/>
      <c r="B572"/>
      <c r="C572"/>
      <c r="D572"/>
      <c r="E572"/>
      <c r="F572"/>
      <c r="G572"/>
      <c r="H572"/>
      <c r="I572"/>
      <c r="J572"/>
      <c r="K572"/>
      <c r="L572"/>
      <c r="M572"/>
      <c r="N572"/>
      <c r="O572"/>
      <c r="P572" s="712" t="s">
        <v>707</v>
      </c>
      <c r="Q572" s="713" t="s">
        <v>619</v>
      </c>
      <c r="R572"/>
      <c r="S572"/>
      <c r="T572"/>
      <c r="U572"/>
      <c r="V572"/>
    </row>
    <row r="573" spans="1:22" x14ac:dyDescent="0.25">
      <c r="A573"/>
      <c r="B573"/>
      <c r="C573"/>
      <c r="D573"/>
      <c r="E573"/>
      <c r="F573"/>
      <c r="G573"/>
      <c r="H573"/>
      <c r="I573"/>
      <c r="J573"/>
      <c r="K573"/>
      <c r="L573"/>
      <c r="M573"/>
      <c r="N573"/>
      <c r="O573"/>
      <c r="P573" s="712" t="s">
        <v>193</v>
      </c>
      <c r="Q573" s="713" t="s">
        <v>619</v>
      </c>
      <c r="R573"/>
      <c r="S573"/>
      <c r="T573"/>
      <c r="U573"/>
      <c r="V573"/>
    </row>
    <row r="574" spans="1:22" x14ac:dyDescent="0.25">
      <c r="A574"/>
      <c r="B574"/>
      <c r="C574"/>
      <c r="D574"/>
      <c r="E574"/>
      <c r="F574"/>
      <c r="G574"/>
      <c r="H574"/>
      <c r="I574"/>
      <c r="J574"/>
      <c r="K574"/>
      <c r="L574"/>
      <c r="M574"/>
      <c r="N574"/>
      <c r="O574"/>
      <c r="P574" s="712" t="s">
        <v>186</v>
      </c>
      <c r="Q574" s="713">
        <v>42460</v>
      </c>
      <c r="R574"/>
      <c r="S574"/>
      <c r="T574"/>
      <c r="U574"/>
      <c r="V574"/>
    </row>
    <row r="575" spans="1:22" x14ac:dyDescent="0.25">
      <c r="A575"/>
      <c r="B575"/>
      <c r="C575"/>
      <c r="D575"/>
      <c r="E575"/>
      <c r="F575"/>
      <c r="G575"/>
      <c r="H575"/>
      <c r="I575"/>
      <c r="J575"/>
      <c r="K575"/>
      <c r="L575"/>
      <c r="M575"/>
      <c r="N575"/>
      <c r="O575"/>
      <c r="P575" s="712" t="s">
        <v>194</v>
      </c>
      <c r="Q575" s="713">
        <v>42521</v>
      </c>
      <c r="R575"/>
      <c r="S575"/>
      <c r="T575"/>
      <c r="U575"/>
      <c r="V575"/>
    </row>
    <row r="576" spans="1:22" x14ac:dyDescent="0.25">
      <c r="A576"/>
      <c r="B576"/>
      <c r="C576"/>
      <c r="D576"/>
      <c r="E576"/>
      <c r="F576"/>
      <c r="G576"/>
      <c r="H576"/>
      <c r="I576"/>
      <c r="J576"/>
      <c r="K576"/>
      <c r="L576"/>
      <c r="M576"/>
      <c r="N576"/>
      <c r="O576"/>
      <c r="P576" s="712" t="s">
        <v>612</v>
      </c>
      <c r="Q576" s="713">
        <v>42460</v>
      </c>
      <c r="R576"/>
      <c r="S576"/>
      <c r="T576"/>
      <c r="U576"/>
      <c r="V576"/>
    </row>
    <row r="577" spans="1:22" x14ac:dyDescent="0.25">
      <c r="A577"/>
      <c r="B577"/>
      <c r="C577"/>
      <c r="D577"/>
      <c r="E577"/>
      <c r="F577"/>
      <c r="G577"/>
      <c r="H577"/>
      <c r="I577"/>
      <c r="J577"/>
      <c r="K577"/>
      <c r="L577"/>
      <c r="M577"/>
      <c r="N577"/>
      <c r="O577"/>
      <c r="P577" s="712" t="s">
        <v>611</v>
      </c>
      <c r="Q577" s="713">
        <v>42460</v>
      </c>
      <c r="R577"/>
      <c r="S577"/>
      <c r="T577"/>
      <c r="U577"/>
      <c r="V577"/>
    </row>
    <row r="578" spans="1:22" x14ac:dyDescent="0.25">
      <c r="A578"/>
      <c r="B578"/>
      <c r="C578"/>
      <c r="D578"/>
      <c r="E578"/>
      <c r="F578"/>
      <c r="G578"/>
      <c r="H578"/>
      <c r="I578"/>
      <c r="J578"/>
      <c r="K578"/>
      <c r="L578"/>
      <c r="M578"/>
      <c r="N578"/>
      <c r="O578"/>
      <c r="P578" s="712" t="s">
        <v>610</v>
      </c>
      <c r="Q578" s="713">
        <v>42460</v>
      </c>
      <c r="R578"/>
      <c r="S578"/>
      <c r="T578"/>
      <c r="U578"/>
      <c r="V578"/>
    </row>
    <row r="579" spans="1:22" x14ac:dyDescent="0.25">
      <c r="A579"/>
      <c r="B579"/>
      <c r="C579"/>
      <c r="D579"/>
      <c r="E579"/>
      <c r="F579"/>
      <c r="G579"/>
      <c r="H579"/>
      <c r="I579"/>
      <c r="J579"/>
      <c r="K579"/>
      <c r="L579"/>
      <c r="M579"/>
      <c r="N579"/>
      <c r="O579"/>
      <c r="P579" s="712" t="s">
        <v>609</v>
      </c>
      <c r="Q579" s="713">
        <v>42460</v>
      </c>
      <c r="R579"/>
      <c r="S579"/>
      <c r="T579"/>
      <c r="U579"/>
      <c r="V579"/>
    </row>
    <row r="580" spans="1:22" x14ac:dyDescent="0.25">
      <c r="A580"/>
      <c r="B580"/>
      <c r="C580"/>
      <c r="D580"/>
      <c r="E580"/>
      <c r="F580"/>
      <c r="G580"/>
      <c r="H580"/>
      <c r="I580"/>
      <c r="J580"/>
      <c r="K580"/>
      <c r="L580"/>
      <c r="M580"/>
      <c r="N580"/>
      <c r="O580"/>
      <c r="P580" s="712" t="s">
        <v>608</v>
      </c>
      <c r="Q580" s="713">
        <v>42460</v>
      </c>
      <c r="R580"/>
      <c r="S580"/>
      <c r="T580"/>
      <c r="U580"/>
      <c r="V580"/>
    </row>
    <row r="581" spans="1:22" x14ac:dyDescent="0.25">
      <c r="A581"/>
      <c r="B581"/>
      <c r="C581"/>
      <c r="D581"/>
      <c r="E581"/>
      <c r="F581"/>
      <c r="G581"/>
      <c r="H581"/>
      <c r="I581"/>
      <c r="J581"/>
      <c r="K581"/>
      <c r="L581"/>
      <c r="M581"/>
      <c r="N581"/>
      <c r="O581"/>
      <c r="P581" s="712" t="s">
        <v>613</v>
      </c>
      <c r="Q581" s="713">
        <v>42460</v>
      </c>
      <c r="R581"/>
      <c r="S581"/>
      <c r="T581"/>
      <c r="U581"/>
      <c r="V581"/>
    </row>
    <row r="582" spans="1:22" x14ac:dyDescent="0.25">
      <c r="A582"/>
      <c r="B582"/>
      <c r="C582"/>
      <c r="D582"/>
      <c r="E582"/>
      <c r="F582"/>
      <c r="G582"/>
      <c r="H582"/>
      <c r="I582"/>
      <c r="J582"/>
      <c r="K582"/>
      <c r="L582"/>
      <c r="M582"/>
      <c r="N582"/>
      <c r="O582"/>
      <c r="P582" s="712" t="s">
        <v>657</v>
      </c>
      <c r="Q582" s="713">
        <v>42460</v>
      </c>
      <c r="R582"/>
      <c r="S582"/>
      <c r="T582"/>
      <c r="U582"/>
      <c r="V582"/>
    </row>
    <row r="583" spans="1:22" x14ac:dyDescent="0.25">
      <c r="A583"/>
      <c r="B583" s="28" t="s">
        <v>3</v>
      </c>
      <c r="C583" t="s">
        <v>261</v>
      </c>
      <c r="D583"/>
      <c r="E583"/>
      <c r="F583"/>
      <c r="G583"/>
      <c r="H583"/>
      <c r="I583"/>
      <c r="J583"/>
      <c r="K583"/>
      <c r="L583"/>
      <c r="M583"/>
      <c r="N583"/>
      <c r="O583"/>
      <c r="P583" s="712" t="s">
        <v>459</v>
      </c>
      <c r="Q583" s="713" t="s">
        <v>619</v>
      </c>
      <c r="R583"/>
      <c r="S583"/>
      <c r="T583"/>
      <c r="U583"/>
      <c r="V583"/>
    </row>
    <row r="584" spans="1:22" x14ac:dyDescent="0.25">
      <c r="A584"/>
      <c r="B584" s="28" t="s">
        <v>4</v>
      </c>
      <c r="C584" t="s">
        <v>74</v>
      </c>
      <c r="E584"/>
      <c r="F584"/>
      <c r="G584"/>
      <c r="H584"/>
      <c r="I584"/>
      <c r="J584"/>
      <c r="K584"/>
      <c r="L584"/>
      <c r="M584"/>
      <c r="N584"/>
      <c r="O584"/>
      <c r="P584" s="712" t="s">
        <v>472</v>
      </c>
      <c r="Q584" s="713">
        <v>42460</v>
      </c>
      <c r="R584"/>
      <c r="S584"/>
      <c r="T584"/>
      <c r="U584"/>
      <c r="V584"/>
    </row>
    <row r="585" spans="1:22" x14ac:dyDescent="0.25">
      <c r="A585"/>
      <c r="E585"/>
      <c r="F585"/>
      <c r="G585"/>
      <c r="H585"/>
      <c r="I585"/>
      <c r="J585"/>
      <c r="K585"/>
      <c r="L585"/>
      <c r="M585"/>
      <c r="N585"/>
      <c r="O585"/>
      <c r="P585" s="712" t="s">
        <v>473</v>
      </c>
      <c r="Q585" s="713">
        <v>42460</v>
      </c>
      <c r="R585"/>
      <c r="S585"/>
      <c r="T585"/>
      <c r="U585"/>
      <c r="V585"/>
    </row>
    <row r="586" spans="1:22" x14ac:dyDescent="0.25">
      <c r="A586"/>
      <c r="B586" s="28" t="s">
        <v>636</v>
      </c>
      <c r="C586" s="28" t="s">
        <v>248</v>
      </c>
      <c r="D586"/>
      <c r="E586"/>
      <c r="F586"/>
      <c r="G586"/>
      <c r="H586"/>
      <c r="I586"/>
      <c r="J586"/>
      <c r="K586"/>
      <c r="L586"/>
      <c r="M586"/>
      <c r="N586"/>
      <c r="O586"/>
      <c r="P586" s="712" t="s">
        <v>615</v>
      </c>
      <c r="Q586" s="713">
        <v>42460</v>
      </c>
      <c r="R586"/>
      <c r="S586"/>
      <c r="T586"/>
      <c r="U586"/>
      <c r="V586"/>
    </row>
    <row r="587" spans="1:22" x14ac:dyDescent="0.25">
      <c r="A587"/>
      <c r="B587" s="28" t="s">
        <v>236</v>
      </c>
      <c r="C587" t="s">
        <v>637</v>
      </c>
      <c r="D587" t="s">
        <v>638</v>
      </c>
      <c r="E587" t="s">
        <v>73</v>
      </c>
      <c r="F587"/>
      <c r="G587"/>
      <c r="H587"/>
      <c r="I587"/>
      <c r="J587"/>
      <c r="K587"/>
      <c r="L587"/>
      <c r="M587"/>
      <c r="N587"/>
      <c r="O587"/>
      <c r="P587" s="712" t="s">
        <v>132</v>
      </c>
      <c r="Q587" s="713">
        <v>42400</v>
      </c>
      <c r="R587"/>
      <c r="S587"/>
      <c r="T587"/>
      <c r="U587"/>
      <c r="V587"/>
    </row>
    <row r="588" spans="1:22" x14ac:dyDescent="0.25">
      <c r="A588"/>
      <c r="B588" s="25" t="s">
        <v>256</v>
      </c>
      <c r="C588" s="268">
        <v>19</v>
      </c>
      <c r="D588" s="268">
        <v>2</v>
      </c>
      <c r="E588" s="268">
        <v>21</v>
      </c>
      <c r="F588"/>
      <c r="G588"/>
      <c r="H588"/>
      <c r="I588"/>
      <c r="J588"/>
      <c r="K588"/>
      <c r="L588"/>
      <c r="M588"/>
      <c r="N588"/>
      <c r="O588"/>
      <c r="P588" s="712" t="s">
        <v>133</v>
      </c>
      <c r="Q588" s="713">
        <v>42400</v>
      </c>
      <c r="R588"/>
      <c r="S588"/>
      <c r="T588"/>
      <c r="U588"/>
      <c r="V588"/>
    </row>
    <row r="589" spans="1:22" x14ac:dyDescent="0.25">
      <c r="A589"/>
      <c r="B589" s="25" t="s">
        <v>257</v>
      </c>
      <c r="C589" s="268">
        <v>1</v>
      </c>
      <c r="D589" s="268">
        <v>30</v>
      </c>
      <c r="E589" s="268">
        <v>31</v>
      </c>
      <c r="F589"/>
      <c r="G589"/>
      <c r="H589"/>
      <c r="I589"/>
      <c r="J589"/>
      <c r="K589"/>
      <c r="L589"/>
      <c r="M589"/>
      <c r="N589"/>
      <c r="O589"/>
      <c r="P589" s="712" t="s">
        <v>134</v>
      </c>
      <c r="Q589" s="713">
        <v>42400</v>
      </c>
      <c r="R589"/>
      <c r="S589"/>
      <c r="T589"/>
      <c r="U589"/>
      <c r="V589"/>
    </row>
    <row r="590" spans="1:22" x14ac:dyDescent="0.25">
      <c r="A590"/>
      <c r="B590" s="25" t="s">
        <v>258</v>
      </c>
      <c r="C590" s="268"/>
      <c r="D590" s="268">
        <v>10</v>
      </c>
      <c r="E590" s="268">
        <v>10</v>
      </c>
      <c r="F590"/>
      <c r="G590"/>
      <c r="H590"/>
      <c r="I590"/>
      <c r="J590"/>
      <c r="K590"/>
      <c r="L590"/>
      <c r="M590"/>
      <c r="N590"/>
      <c r="O590"/>
      <c r="P590" s="712" t="s">
        <v>135</v>
      </c>
      <c r="Q590" s="713">
        <v>42400</v>
      </c>
      <c r="R590"/>
      <c r="S590"/>
      <c r="T590"/>
      <c r="U590"/>
      <c r="V590"/>
    </row>
    <row r="591" spans="1:22" x14ac:dyDescent="0.25">
      <c r="A591"/>
      <c r="B591" s="25" t="s">
        <v>259</v>
      </c>
      <c r="C591" s="268">
        <v>22</v>
      </c>
      <c r="D591" s="268">
        <v>11</v>
      </c>
      <c r="E591" s="268">
        <v>33</v>
      </c>
      <c r="F591"/>
      <c r="G591"/>
      <c r="H591"/>
      <c r="I591"/>
      <c r="J591"/>
      <c r="K591"/>
      <c r="L591"/>
      <c r="M591"/>
      <c r="N591"/>
      <c r="O591"/>
      <c r="P591" s="712" t="s">
        <v>136</v>
      </c>
      <c r="Q591" s="713">
        <v>42369</v>
      </c>
      <c r="R591"/>
      <c r="S591"/>
      <c r="T591"/>
      <c r="U591"/>
      <c r="V591"/>
    </row>
    <row r="592" spans="1:22" x14ac:dyDescent="0.25">
      <c r="A592"/>
      <c r="B592" s="25" t="s">
        <v>260</v>
      </c>
      <c r="C592" s="268">
        <v>3</v>
      </c>
      <c r="D592" s="268">
        <v>2</v>
      </c>
      <c r="E592" s="268">
        <v>5</v>
      </c>
      <c r="F592"/>
      <c r="G592"/>
      <c r="H592"/>
      <c r="I592"/>
      <c r="J592"/>
      <c r="K592"/>
      <c r="L592"/>
      <c r="M592"/>
      <c r="N592"/>
      <c r="O592"/>
      <c r="P592" s="712" t="s">
        <v>137</v>
      </c>
      <c r="Q592" s="713">
        <v>42400</v>
      </c>
      <c r="R592"/>
      <c r="S592"/>
      <c r="T592"/>
      <c r="U592"/>
      <c r="V592"/>
    </row>
    <row r="593" spans="1:22" x14ac:dyDescent="0.25">
      <c r="A593"/>
      <c r="B593" s="25" t="s">
        <v>265</v>
      </c>
      <c r="C593" s="268">
        <v>18</v>
      </c>
      <c r="D593" s="268">
        <v>2</v>
      </c>
      <c r="E593" s="268">
        <v>20</v>
      </c>
      <c r="F593"/>
      <c r="G593"/>
      <c r="H593"/>
      <c r="I593"/>
      <c r="J593"/>
      <c r="K593"/>
      <c r="L593"/>
      <c r="M593"/>
      <c r="N593"/>
      <c r="O593"/>
      <c r="P593" s="712" t="s">
        <v>195</v>
      </c>
      <c r="Q593" s="713">
        <v>42369</v>
      </c>
      <c r="R593"/>
      <c r="S593"/>
      <c r="T593"/>
      <c r="U593"/>
      <c r="V593"/>
    </row>
    <row r="594" spans="1:22" x14ac:dyDescent="0.25">
      <c r="A594"/>
      <c r="B594" s="25" t="s">
        <v>266</v>
      </c>
      <c r="C594" s="268">
        <v>9</v>
      </c>
      <c r="D594" s="268">
        <v>6</v>
      </c>
      <c r="E594" s="268">
        <v>15</v>
      </c>
      <c r="F594"/>
      <c r="G594"/>
      <c r="H594"/>
      <c r="I594"/>
      <c r="J594"/>
      <c r="K594"/>
      <c r="L594"/>
      <c r="M594"/>
      <c r="N594"/>
      <c r="O594"/>
      <c r="P594" s="712" t="s">
        <v>138</v>
      </c>
      <c r="Q594" s="713" t="s">
        <v>619</v>
      </c>
      <c r="R594"/>
      <c r="S594"/>
      <c r="T594"/>
      <c r="U594"/>
      <c r="V594"/>
    </row>
    <row r="595" spans="1:22" x14ac:dyDescent="0.25">
      <c r="A595"/>
      <c r="B595" s="25" t="s">
        <v>267</v>
      </c>
      <c r="C595" s="268">
        <v>11</v>
      </c>
      <c r="D595" s="268"/>
      <c r="E595" s="268">
        <v>11</v>
      </c>
      <c r="F595"/>
      <c r="G595"/>
      <c r="H595"/>
      <c r="I595"/>
      <c r="J595"/>
      <c r="K595"/>
      <c r="L595"/>
      <c r="M595"/>
      <c r="N595"/>
      <c r="O595"/>
      <c r="P595" s="712" t="s">
        <v>139</v>
      </c>
      <c r="Q595" s="713" t="s">
        <v>619</v>
      </c>
      <c r="R595"/>
      <c r="S595"/>
      <c r="T595"/>
      <c r="U595"/>
      <c r="V595"/>
    </row>
    <row r="596" spans="1:22" x14ac:dyDescent="0.25">
      <c r="A596"/>
      <c r="B596" s="25" t="s">
        <v>268</v>
      </c>
      <c r="C596" s="268">
        <v>2</v>
      </c>
      <c r="D596" s="268">
        <v>2</v>
      </c>
      <c r="E596" s="268">
        <v>4</v>
      </c>
      <c r="F596"/>
      <c r="G596"/>
      <c r="H596"/>
      <c r="I596"/>
      <c r="J596"/>
      <c r="K596"/>
      <c r="L596"/>
      <c r="M596"/>
      <c r="N596"/>
      <c r="O596"/>
      <c r="P596" s="712" t="s">
        <v>140</v>
      </c>
      <c r="Q596" s="713">
        <v>42400</v>
      </c>
      <c r="R596"/>
      <c r="S596"/>
      <c r="T596"/>
      <c r="U596"/>
      <c r="V596"/>
    </row>
    <row r="597" spans="1:22" x14ac:dyDescent="0.25">
      <c r="A597"/>
      <c r="B597" s="25" t="s">
        <v>313</v>
      </c>
      <c r="C597" s="268">
        <v>2</v>
      </c>
      <c r="D597" s="268">
        <v>9</v>
      </c>
      <c r="E597" s="268">
        <v>11</v>
      </c>
      <c r="F597"/>
      <c r="G597"/>
      <c r="H597"/>
      <c r="I597"/>
      <c r="J597"/>
      <c r="K597"/>
      <c r="L597"/>
      <c r="M597"/>
      <c r="N597"/>
      <c r="O597"/>
      <c r="P597" s="712" t="s">
        <v>141</v>
      </c>
      <c r="Q597" s="713">
        <v>42400</v>
      </c>
      <c r="R597"/>
      <c r="S597"/>
      <c r="T597"/>
      <c r="U597"/>
      <c r="V597"/>
    </row>
    <row r="598" spans="1:22" x14ac:dyDescent="0.25">
      <c r="A598"/>
      <c r="B598" s="25" t="s">
        <v>73</v>
      </c>
      <c r="C598" s="268">
        <v>87</v>
      </c>
      <c r="D598" s="268">
        <v>74</v>
      </c>
      <c r="E598" s="268">
        <v>161</v>
      </c>
      <c r="F598"/>
      <c r="G598"/>
      <c r="H598"/>
      <c r="I598"/>
      <c r="J598"/>
      <c r="K598"/>
      <c r="L598"/>
      <c r="M598"/>
      <c r="N598"/>
      <c r="O598"/>
      <c r="P598" s="712" t="s">
        <v>142</v>
      </c>
      <c r="Q598" s="713">
        <v>42429</v>
      </c>
      <c r="R598"/>
      <c r="S598"/>
      <c r="T598"/>
      <c r="U598"/>
      <c r="V598"/>
    </row>
    <row r="599" spans="1:22" x14ac:dyDescent="0.25">
      <c r="A599"/>
      <c r="B599"/>
      <c r="C599"/>
      <c r="D599"/>
      <c r="E599"/>
      <c r="F599"/>
      <c r="G599"/>
      <c r="H599"/>
      <c r="I599"/>
      <c r="J599"/>
      <c r="K599"/>
      <c r="L599"/>
      <c r="M599"/>
      <c r="N599"/>
      <c r="O599"/>
      <c r="P599" s="712" t="s">
        <v>143</v>
      </c>
      <c r="Q599" s="713">
        <v>42429</v>
      </c>
      <c r="R599"/>
      <c r="S599"/>
      <c r="T599"/>
      <c r="U599"/>
      <c r="V599"/>
    </row>
    <row r="600" spans="1:22" x14ac:dyDescent="0.25">
      <c r="A600"/>
      <c r="B600"/>
      <c r="C600"/>
      <c r="D600"/>
      <c r="E600"/>
      <c r="F600"/>
      <c r="G600"/>
      <c r="H600"/>
      <c r="I600"/>
      <c r="J600"/>
      <c r="K600"/>
      <c r="L600"/>
      <c r="M600"/>
      <c r="N600"/>
      <c r="O600"/>
      <c r="P600" s="712" t="s">
        <v>215</v>
      </c>
      <c r="Q600" s="713">
        <v>42369</v>
      </c>
      <c r="R600"/>
      <c r="S600"/>
      <c r="T600"/>
      <c r="U600"/>
      <c r="V600"/>
    </row>
    <row r="601" spans="1:22" x14ac:dyDescent="0.25">
      <c r="A601"/>
      <c r="B601"/>
      <c r="C601"/>
      <c r="D601"/>
      <c r="E601"/>
      <c r="F601"/>
      <c r="G601"/>
      <c r="H601"/>
      <c r="I601"/>
      <c r="J601"/>
      <c r="K601"/>
      <c r="L601"/>
      <c r="M601"/>
      <c r="N601"/>
      <c r="O601"/>
      <c r="P601" s="712" t="s">
        <v>214</v>
      </c>
      <c r="Q601" s="713">
        <v>42400</v>
      </c>
      <c r="R601"/>
      <c r="S601"/>
      <c r="T601"/>
      <c r="U601"/>
      <c r="V601"/>
    </row>
    <row r="602" spans="1:22" x14ac:dyDescent="0.25">
      <c r="A602"/>
      <c r="B602"/>
      <c r="C602"/>
      <c r="D602"/>
      <c r="E602"/>
      <c r="F602"/>
      <c r="G602"/>
      <c r="H602"/>
      <c r="I602"/>
      <c r="J602"/>
      <c r="K602"/>
      <c r="L602"/>
      <c r="M602"/>
      <c r="N602"/>
      <c r="O602"/>
      <c r="P602" s="712" t="s">
        <v>144</v>
      </c>
      <c r="Q602" s="713">
        <v>42369</v>
      </c>
      <c r="R602"/>
      <c r="S602"/>
      <c r="T602"/>
      <c r="U602"/>
      <c r="V602"/>
    </row>
    <row r="603" spans="1:22" x14ac:dyDescent="0.25">
      <c r="A603"/>
      <c r="B603" s="28" t="s">
        <v>3</v>
      </c>
      <c r="C603" t="s">
        <v>74</v>
      </c>
      <c r="D603"/>
      <c r="E603"/>
      <c r="F603"/>
      <c r="G603"/>
      <c r="H603"/>
      <c r="I603"/>
      <c r="J603"/>
      <c r="K603"/>
      <c r="L603"/>
      <c r="M603"/>
      <c r="N603"/>
      <c r="O603"/>
      <c r="P603" s="712" t="s">
        <v>145</v>
      </c>
      <c r="Q603" s="713" t="s">
        <v>619</v>
      </c>
      <c r="R603"/>
      <c r="S603"/>
      <c r="T603"/>
      <c r="U603"/>
      <c r="V603"/>
    </row>
    <row r="604" spans="1:22" x14ac:dyDescent="0.25">
      <c r="A604"/>
      <c r="B604" s="28" t="s">
        <v>255</v>
      </c>
      <c r="C604" t="s">
        <v>74</v>
      </c>
      <c r="E604"/>
      <c r="F604"/>
      <c r="G604"/>
      <c r="H604"/>
      <c r="I604"/>
      <c r="J604"/>
      <c r="K604"/>
      <c r="L604"/>
      <c r="M604"/>
      <c r="N604"/>
      <c r="O604"/>
      <c r="P604" s="712" t="s">
        <v>146</v>
      </c>
      <c r="Q604" s="713">
        <v>42429</v>
      </c>
      <c r="R604"/>
      <c r="S604"/>
      <c r="T604"/>
      <c r="U604"/>
      <c r="V604"/>
    </row>
    <row r="605" spans="1:22" x14ac:dyDescent="0.25">
      <c r="A605"/>
      <c r="E605"/>
      <c r="F605"/>
      <c r="G605"/>
      <c r="H605"/>
      <c r="I605"/>
      <c r="J605"/>
      <c r="K605"/>
      <c r="L605"/>
      <c r="M605"/>
      <c r="N605"/>
      <c r="O605"/>
      <c r="P605" s="712" t="s">
        <v>147</v>
      </c>
      <c r="Q605" s="713" t="s">
        <v>619</v>
      </c>
      <c r="R605"/>
      <c r="S605"/>
      <c r="T605"/>
      <c r="U605"/>
      <c r="V605"/>
    </row>
    <row r="606" spans="1:22" x14ac:dyDescent="0.25">
      <c r="A606"/>
      <c r="B606" s="28" t="s">
        <v>237</v>
      </c>
      <c r="C606" s="28" t="s">
        <v>248</v>
      </c>
      <c r="D606"/>
      <c r="E606"/>
      <c r="F606"/>
      <c r="G606"/>
      <c r="H606"/>
      <c r="I606"/>
      <c r="J606"/>
      <c r="K606"/>
      <c r="L606"/>
      <c r="M606"/>
      <c r="N606"/>
      <c r="O606"/>
      <c r="P606" s="712" t="s">
        <v>603</v>
      </c>
      <c r="Q606" s="713">
        <v>42429</v>
      </c>
      <c r="R606"/>
      <c r="S606"/>
      <c r="T606"/>
      <c r="U606"/>
      <c r="V606"/>
    </row>
    <row r="607" spans="1:22" x14ac:dyDescent="0.25">
      <c r="A607"/>
      <c r="B607" s="28" t="s">
        <v>236</v>
      </c>
      <c r="C607" t="s">
        <v>637</v>
      </c>
      <c r="D607" t="s">
        <v>638</v>
      </c>
      <c r="E607" t="s">
        <v>73</v>
      </c>
      <c r="F607"/>
      <c r="G607"/>
      <c r="H607"/>
      <c r="I607"/>
      <c r="J607"/>
      <c r="K607"/>
      <c r="L607"/>
      <c r="M607"/>
      <c r="N607"/>
      <c r="O607"/>
      <c r="P607" s="712" t="s">
        <v>148</v>
      </c>
      <c r="Q607" s="713">
        <v>42400</v>
      </c>
      <c r="R607"/>
      <c r="S607"/>
      <c r="T607"/>
      <c r="U607"/>
      <c r="V607"/>
    </row>
    <row r="608" spans="1:22" x14ac:dyDescent="0.25">
      <c r="A608"/>
      <c r="B608" s="25" t="s">
        <v>213</v>
      </c>
      <c r="C608" s="268">
        <v>29585</v>
      </c>
      <c r="D608" s="268">
        <v>20423</v>
      </c>
      <c r="E608" s="268">
        <v>50008</v>
      </c>
      <c r="F608"/>
      <c r="G608"/>
      <c r="H608"/>
      <c r="I608"/>
      <c r="J608"/>
      <c r="K608"/>
      <c r="L608"/>
      <c r="M608"/>
      <c r="N608"/>
      <c r="O608"/>
      <c r="P608" s="712" t="s">
        <v>149</v>
      </c>
      <c r="Q608" s="713">
        <v>42429</v>
      </c>
      <c r="R608"/>
      <c r="S608"/>
      <c r="T608"/>
      <c r="U608"/>
      <c r="V608"/>
    </row>
    <row r="609" spans="1:22" x14ac:dyDescent="0.25">
      <c r="A609"/>
      <c r="B609" s="25" t="s">
        <v>221</v>
      </c>
      <c r="C609" s="268">
        <v>21539</v>
      </c>
      <c r="D609" s="268">
        <v>7046</v>
      </c>
      <c r="E609" s="268">
        <v>28585</v>
      </c>
      <c r="F609"/>
      <c r="G609"/>
      <c r="H609"/>
      <c r="I609"/>
      <c r="J609"/>
      <c r="K609"/>
      <c r="L609"/>
      <c r="M609"/>
      <c r="N609"/>
      <c r="O609"/>
      <c r="P609" s="712" t="s">
        <v>150</v>
      </c>
      <c r="Q609" s="713">
        <v>42429</v>
      </c>
      <c r="R609"/>
      <c r="S609"/>
      <c r="T609"/>
      <c r="U609"/>
      <c r="V609"/>
    </row>
    <row r="610" spans="1:22" x14ac:dyDescent="0.25">
      <c r="A610"/>
      <c r="B610" s="25" t="s">
        <v>73</v>
      </c>
      <c r="C610" s="268">
        <v>51124</v>
      </c>
      <c r="D610" s="268">
        <v>27469</v>
      </c>
      <c r="E610" s="268">
        <v>78593</v>
      </c>
      <c r="F610"/>
      <c r="G610"/>
      <c r="H610"/>
      <c r="I610"/>
      <c r="J610"/>
      <c r="K610"/>
      <c r="L610"/>
      <c r="M610"/>
      <c r="N610"/>
      <c r="O610"/>
      <c r="P610" s="712" t="s">
        <v>151</v>
      </c>
      <c r="Q610" s="713">
        <v>42400</v>
      </c>
      <c r="R610"/>
      <c r="S610"/>
      <c r="T610"/>
      <c r="U610"/>
      <c r="V610"/>
    </row>
    <row r="611" spans="1:22" x14ac:dyDescent="0.25">
      <c r="A611"/>
      <c r="B611"/>
      <c r="C611"/>
      <c r="D611"/>
      <c r="E611"/>
      <c r="F611"/>
      <c r="G611"/>
      <c r="H611"/>
      <c r="I611"/>
      <c r="J611"/>
      <c r="K611"/>
      <c r="L611"/>
      <c r="M611"/>
      <c r="N611"/>
      <c r="O611"/>
      <c r="P611" s="712" t="s">
        <v>152</v>
      </c>
      <c r="Q611" s="713">
        <v>42400</v>
      </c>
      <c r="R611"/>
      <c r="S611"/>
      <c r="T611"/>
      <c r="U611"/>
      <c r="V611"/>
    </row>
    <row r="612" spans="1:22" x14ac:dyDescent="0.25">
      <c r="A612"/>
      <c r="B612"/>
      <c r="C612"/>
      <c r="D612"/>
      <c r="E612"/>
      <c r="F612"/>
      <c r="G612"/>
      <c r="H612"/>
      <c r="I612"/>
      <c r="J612"/>
      <c r="K612"/>
      <c r="L612"/>
      <c r="M612"/>
      <c r="N612"/>
      <c r="O612"/>
      <c r="P612" s="712" t="s">
        <v>153</v>
      </c>
      <c r="Q612" s="713">
        <v>42429</v>
      </c>
      <c r="R612"/>
      <c r="S612"/>
      <c r="T612"/>
      <c r="U612"/>
      <c r="V612"/>
    </row>
    <row r="613" spans="1:22" x14ac:dyDescent="0.25">
      <c r="A613"/>
      <c r="B613"/>
      <c r="C613"/>
      <c r="D613"/>
      <c r="E613"/>
      <c r="F613"/>
      <c r="G613"/>
      <c r="H613"/>
      <c r="I613"/>
      <c r="J613"/>
      <c r="K613"/>
      <c r="L613"/>
      <c r="M613"/>
      <c r="N613"/>
      <c r="O613"/>
      <c r="P613" s="712" t="s">
        <v>461</v>
      </c>
      <c r="Q613" s="713">
        <v>42460</v>
      </c>
      <c r="R613"/>
      <c r="S613"/>
      <c r="T613"/>
      <c r="U613"/>
      <c r="V613"/>
    </row>
    <row r="614" spans="1:22" x14ac:dyDescent="0.25">
      <c r="A614"/>
      <c r="B614"/>
      <c r="C614"/>
      <c r="D614"/>
      <c r="E614"/>
      <c r="F614"/>
      <c r="G614"/>
      <c r="H614"/>
      <c r="I614"/>
      <c r="J614"/>
      <c r="K614"/>
      <c r="L614"/>
      <c r="M614"/>
      <c r="N614"/>
      <c r="O614"/>
      <c r="P614" s="712" t="s">
        <v>462</v>
      </c>
      <c r="Q614" s="713">
        <v>42460</v>
      </c>
      <c r="R614"/>
      <c r="S614"/>
      <c r="T614"/>
      <c r="U614"/>
      <c r="V614"/>
    </row>
    <row r="615" spans="1:22" x14ac:dyDescent="0.25">
      <c r="A615"/>
      <c r="B615"/>
      <c r="C615"/>
      <c r="D615"/>
      <c r="E615"/>
      <c r="F615"/>
      <c r="G615"/>
      <c r="H615"/>
      <c r="I615"/>
      <c r="J615"/>
      <c r="K615"/>
      <c r="L615"/>
      <c r="M615"/>
      <c r="N615"/>
      <c r="O615"/>
      <c r="P615" s="712" t="s">
        <v>210</v>
      </c>
      <c r="Q615" s="713">
        <v>42460</v>
      </c>
      <c r="R615"/>
      <c r="S615"/>
      <c r="T615"/>
      <c r="U615"/>
      <c r="V615"/>
    </row>
    <row r="616" spans="1:22" x14ac:dyDescent="0.25">
      <c r="A616"/>
      <c r="B616"/>
      <c r="C616"/>
      <c r="D616"/>
      <c r="E616"/>
      <c r="F616"/>
      <c r="G616"/>
      <c r="H616"/>
      <c r="I616"/>
      <c r="J616"/>
      <c r="K616"/>
      <c r="L616"/>
      <c r="M616"/>
      <c r="N616"/>
      <c r="O616"/>
      <c r="P616" s="712" t="s">
        <v>211</v>
      </c>
      <c r="Q616" s="713">
        <v>42460</v>
      </c>
      <c r="R616"/>
      <c r="S616"/>
      <c r="T616"/>
      <c r="U616"/>
      <c r="V616"/>
    </row>
    <row r="617" spans="1:22" x14ac:dyDescent="0.25">
      <c r="A617"/>
      <c r="B617"/>
      <c r="C617"/>
      <c r="D617"/>
      <c r="E617"/>
      <c r="F617"/>
      <c r="G617"/>
      <c r="H617"/>
      <c r="I617"/>
      <c r="J617"/>
      <c r="K617"/>
      <c r="L617"/>
      <c r="M617"/>
      <c r="N617"/>
      <c r="O617"/>
      <c r="P617" s="712" t="s">
        <v>212</v>
      </c>
      <c r="Q617" s="713">
        <v>42369</v>
      </c>
      <c r="R617"/>
      <c r="S617"/>
      <c r="T617"/>
      <c r="U617"/>
      <c r="V617"/>
    </row>
    <row r="618" spans="1:22" x14ac:dyDescent="0.25">
      <c r="A618"/>
      <c r="B618" s="28" t="s">
        <v>3</v>
      </c>
      <c r="C618" t="s">
        <v>74</v>
      </c>
      <c r="D618"/>
      <c r="E618"/>
      <c r="F618"/>
      <c r="G618"/>
      <c r="H618"/>
      <c r="I618"/>
      <c r="J618"/>
      <c r="K618"/>
      <c r="L618"/>
      <c r="M618"/>
      <c r="N618"/>
      <c r="O618"/>
      <c r="P618" s="712" t="s">
        <v>451</v>
      </c>
      <c r="Q618" s="713">
        <v>42460</v>
      </c>
      <c r="R618"/>
      <c r="S618"/>
      <c r="T618"/>
      <c r="U618"/>
      <c r="V618"/>
    </row>
    <row r="619" spans="1:22" x14ac:dyDescent="0.25">
      <c r="A619"/>
      <c r="B619" s="28" t="s">
        <v>255</v>
      </c>
      <c r="C619" t="s">
        <v>74</v>
      </c>
      <c r="D619"/>
      <c r="E619"/>
      <c r="F619"/>
      <c r="G619"/>
      <c r="H619"/>
      <c r="I619"/>
      <c r="J619"/>
      <c r="K619"/>
      <c r="L619"/>
      <c r="M619"/>
      <c r="N619"/>
      <c r="O619"/>
      <c r="P619" s="712" t="s">
        <v>452</v>
      </c>
      <c r="Q619" s="713">
        <v>42429</v>
      </c>
      <c r="R619"/>
      <c r="S619"/>
      <c r="T619"/>
      <c r="U619"/>
      <c r="V619"/>
    </row>
    <row r="620" spans="1:22" x14ac:dyDescent="0.25">
      <c r="A620"/>
      <c r="B620" s="28" t="s">
        <v>4</v>
      </c>
      <c r="C620" t="s">
        <v>74</v>
      </c>
      <c r="E620"/>
      <c r="F620"/>
      <c r="G620"/>
      <c r="H620"/>
      <c r="I620"/>
      <c r="J620"/>
      <c r="K620"/>
      <c r="L620"/>
      <c r="M620"/>
      <c r="N620"/>
      <c r="O620"/>
      <c r="P620" s="712" t="s">
        <v>761</v>
      </c>
      <c r="Q620" s="713">
        <v>42400</v>
      </c>
      <c r="R620"/>
      <c r="S620"/>
      <c r="T620"/>
      <c r="U620"/>
      <c r="V620"/>
    </row>
    <row r="621" spans="1:22" x14ac:dyDescent="0.25">
      <c r="A621"/>
      <c r="E621"/>
      <c r="F621"/>
      <c r="G621"/>
      <c r="H621"/>
      <c r="I621"/>
      <c r="J621"/>
      <c r="K621"/>
      <c r="L621"/>
      <c r="M621"/>
      <c r="N621"/>
      <c r="O621"/>
      <c r="P621" s="712" t="s">
        <v>655</v>
      </c>
      <c r="Q621" s="713">
        <v>42429</v>
      </c>
      <c r="R621"/>
      <c r="S621"/>
      <c r="T621"/>
      <c r="U621"/>
      <c r="V621"/>
    </row>
    <row r="622" spans="1:22" x14ac:dyDescent="0.25">
      <c r="A622"/>
      <c r="B622" s="28" t="s">
        <v>237</v>
      </c>
      <c r="C622" s="28" t="s">
        <v>248</v>
      </c>
      <c r="D622"/>
      <c r="E622"/>
      <c r="F622"/>
      <c r="G622"/>
      <c r="H622"/>
      <c r="I622"/>
      <c r="J622"/>
      <c r="K622"/>
      <c r="L622"/>
      <c r="M622"/>
      <c r="N622"/>
      <c r="O622"/>
      <c r="P622" s="712" t="s">
        <v>196</v>
      </c>
      <c r="Q622" s="713">
        <v>42459</v>
      </c>
      <c r="R622"/>
      <c r="S622"/>
      <c r="T622"/>
      <c r="U622"/>
      <c r="V622"/>
    </row>
    <row r="623" spans="1:22" x14ac:dyDescent="0.25">
      <c r="A623"/>
      <c r="B623" s="28" t="s">
        <v>236</v>
      </c>
      <c r="C623" t="s">
        <v>637</v>
      </c>
      <c r="D623" t="s">
        <v>638</v>
      </c>
      <c r="E623" t="s">
        <v>73</v>
      </c>
      <c r="F623"/>
      <c r="G623"/>
      <c r="H623"/>
      <c r="I623"/>
      <c r="J623"/>
      <c r="K623"/>
      <c r="L623"/>
      <c r="M623"/>
      <c r="N623"/>
      <c r="O623"/>
      <c r="P623" s="712" t="s">
        <v>197</v>
      </c>
      <c r="Q623" s="713">
        <v>42459</v>
      </c>
      <c r="R623"/>
      <c r="S623"/>
      <c r="T623"/>
      <c r="U623"/>
      <c r="V623"/>
    </row>
    <row r="624" spans="1:22" x14ac:dyDescent="0.25">
      <c r="A624"/>
      <c r="B624" s="25" t="s">
        <v>175</v>
      </c>
      <c r="C624" s="268">
        <v>6992</v>
      </c>
      <c r="D624" s="268">
        <v>965</v>
      </c>
      <c r="E624" s="268">
        <v>7957</v>
      </c>
      <c r="F624"/>
      <c r="G624"/>
      <c r="H624"/>
      <c r="I624"/>
      <c r="J624"/>
      <c r="K624"/>
      <c r="L624"/>
      <c r="M624"/>
      <c r="N624"/>
      <c r="O624"/>
      <c r="P624" s="712" t="s">
        <v>720</v>
      </c>
      <c r="Q624" s="713" t="s">
        <v>619</v>
      </c>
      <c r="R624"/>
      <c r="S624"/>
      <c r="T624"/>
      <c r="U624"/>
      <c r="V624"/>
    </row>
    <row r="625" spans="1:22" x14ac:dyDescent="0.25">
      <c r="A625"/>
      <c r="B625" s="25" t="s">
        <v>104</v>
      </c>
      <c r="C625" s="268">
        <v>488</v>
      </c>
      <c r="D625" s="268">
        <v>2066</v>
      </c>
      <c r="E625" s="268">
        <v>2554</v>
      </c>
      <c r="F625"/>
      <c r="G625"/>
      <c r="H625"/>
      <c r="I625"/>
      <c r="J625"/>
      <c r="K625"/>
      <c r="L625"/>
      <c r="M625"/>
      <c r="N625"/>
      <c r="O625"/>
      <c r="P625" s="712" t="s">
        <v>222</v>
      </c>
      <c r="Q625" s="713">
        <v>42369</v>
      </c>
      <c r="R625"/>
      <c r="S625"/>
      <c r="T625"/>
      <c r="U625"/>
      <c r="V625"/>
    </row>
    <row r="626" spans="1:22" x14ac:dyDescent="0.25">
      <c r="A626"/>
      <c r="B626" s="25" t="s">
        <v>107</v>
      </c>
      <c r="C626" s="268">
        <v>3456</v>
      </c>
      <c r="D626" s="268">
        <v>141</v>
      </c>
      <c r="E626" s="268">
        <v>3597</v>
      </c>
      <c r="F626"/>
      <c r="G626"/>
      <c r="H626"/>
      <c r="I626"/>
      <c r="J626"/>
      <c r="K626"/>
      <c r="L626"/>
      <c r="M626"/>
      <c r="N626"/>
      <c r="O626"/>
      <c r="P626" s="712" t="s">
        <v>605</v>
      </c>
      <c r="Q626" s="713">
        <v>42429</v>
      </c>
      <c r="R626"/>
      <c r="S626"/>
      <c r="T626"/>
      <c r="U626"/>
      <c r="V626"/>
    </row>
    <row r="627" spans="1:22" x14ac:dyDescent="0.25">
      <c r="A627"/>
      <c r="B627" s="25" t="s">
        <v>124</v>
      </c>
      <c r="C627" s="268"/>
      <c r="D627" s="268">
        <v>17</v>
      </c>
      <c r="E627" s="268">
        <v>17</v>
      </c>
      <c r="F627"/>
      <c r="G627"/>
      <c r="H627"/>
      <c r="I627"/>
      <c r="J627"/>
      <c r="K627"/>
      <c r="L627"/>
      <c r="M627"/>
      <c r="N627"/>
      <c r="O627"/>
      <c r="P627" s="712" t="s">
        <v>604</v>
      </c>
      <c r="Q627" s="713">
        <v>42429</v>
      </c>
      <c r="R627"/>
      <c r="S627"/>
      <c r="T627"/>
      <c r="U627"/>
      <c r="V627"/>
    </row>
    <row r="628" spans="1:22" x14ac:dyDescent="0.25">
      <c r="A628"/>
      <c r="B628" s="25" t="s">
        <v>200</v>
      </c>
      <c r="C628" s="268">
        <v>4686</v>
      </c>
      <c r="D628" s="268"/>
      <c r="E628" s="268">
        <v>4686</v>
      </c>
      <c r="F628"/>
      <c r="G628"/>
      <c r="H628"/>
      <c r="I628"/>
      <c r="J628"/>
      <c r="K628"/>
      <c r="L628"/>
      <c r="M628"/>
      <c r="N628"/>
      <c r="O628"/>
      <c r="P628" s="712" t="s">
        <v>155</v>
      </c>
      <c r="Q628" s="713">
        <v>42429</v>
      </c>
      <c r="R628"/>
      <c r="S628"/>
      <c r="T628"/>
      <c r="U628"/>
      <c r="V628"/>
    </row>
    <row r="629" spans="1:22" x14ac:dyDescent="0.25">
      <c r="A629"/>
      <c r="B629" s="25" t="s">
        <v>181</v>
      </c>
      <c r="C629" s="268">
        <v>10237</v>
      </c>
      <c r="D629" s="268">
        <v>3274</v>
      </c>
      <c r="E629" s="268">
        <v>13511</v>
      </c>
      <c r="F629"/>
      <c r="G629"/>
      <c r="H629"/>
      <c r="I629"/>
      <c r="J629"/>
      <c r="K629"/>
      <c r="L629"/>
      <c r="M629"/>
      <c r="N629"/>
      <c r="O629"/>
      <c r="P629" s="712" t="s">
        <v>156</v>
      </c>
      <c r="Q629" s="713">
        <v>42400</v>
      </c>
      <c r="R629"/>
      <c r="S629"/>
      <c r="T629"/>
      <c r="U629"/>
      <c r="V629"/>
    </row>
    <row r="630" spans="1:22" x14ac:dyDescent="0.25">
      <c r="A630"/>
      <c r="B630" s="25" t="s">
        <v>182</v>
      </c>
      <c r="C630" s="268">
        <v>139</v>
      </c>
      <c r="D630" s="268">
        <v>183</v>
      </c>
      <c r="E630" s="268">
        <v>322</v>
      </c>
      <c r="F630"/>
      <c r="G630"/>
      <c r="H630"/>
      <c r="I630"/>
      <c r="J630"/>
      <c r="K630"/>
      <c r="L630"/>
      <c r="M630"/>
      <c r="N630"/>
      <c r="O630"/>
      <c r="P630" s="712" t="s">
        <v>157</v>
      </c>
      <c r="Q630" s="713">
        <v>42400</v>
      </c>
      <c r="R630"/>
      <c r="S630"/>
      <c r="T630"/>
      <c r="U630"/>
      <c r="V630"/>
    </row>
    <row r="631" spans="1:22" x14ac:dyDescent="0.25">
      <c r="A631"/>
      <c r="B631" s="25" t="s">
        <v>220</v>
      </c>
      <c r="C631" s="268"/>
      <c r="D631" s="268">
        <v>330</v>
      </c>
      <c r="E631" s="268">
        <v>330</v>
      </c>
      <c r="F631"/>
      <c r="G631"/>
      <c r="H631"/>
      <c r="I631"/>
      <c r="J631"/>
      <c r="K631"/>
      <c r="L631"/>
      <c r="M631"/>
      <c r="N631"/>
      <c r="O631"/>
      <c r="P631" s="712" t="s">
        <v>158</v>
      </c>
      <c r="Q631" s="713" t="s">
        <v>619</v>
      </c>
      <c r="R631"/>
      <c r="S631"/>
      <c r="T631"/>
      <c r="U631"/>
      <c r="V631"/>
    </row>
    <row r="632" spans="1:22" x14ac:dyDescent="0.25">
      <c r="A632"/>
      <c r="B632" s="25" t="s">
        <v>129</v>
      </c>
      <c r="C632" s="268"/>
      <c r="D632" s="268">
        <v>363</v>
      </c>
      <c r="E632" s="268">
        <v>363</v>
      </c>
      <c r="F632"/>
      <c r="G632"/>
      <c r="H632"/>
      <c r="I632"/>
      <c r="J632"/>
      <c r="K632"/>
      <c r="L632"/>
      <c r="M632"/>
      <c r="N632"/>
      <c r="O632"/>
      <c r="P632" s="712" t="s">
        <v>159</v>
      </c>
      <c r="Q632" s="713">
        <v>42429</v>
      </c>
      <c r="R632"/>
      <c r="S632"/>
      <c r="T632"/>
      <c r="U632"/>
      <c r="V632"/>
    </row>
    <row r="633" spans="1:22" x14ac:dyDescent="0.25">
      <c r="A633"/>
      <c r="B633" s="25" t="s">
        <v>183</v>
      </c>
      <c r="C633" s="268">
        <v>20519</v>
      </c>
      <c r="D633" s="268">
        <v>1991</v>
      </c>
      <c r="E633" s="268">
        <v>22510</v>
      </c>
      <c r="F633"/>
      <c r="G633"/>
      <c r="H633"/>
      <c r="I633"/>
      <c r="J633"/>
      <c r="K633"/>
      <c r="L633"/>
      <c r="M633"/>
      <c r="N633"/>
      <c r="O633"/>
      <c r="P633" s="712" t="s">
        <v>160</v>
      </c>
      <c r="Q633" s="713">
        <v>42369</v>
      </c>
      <c r="R633"/>
      <c r="S633"/>
      <c r="T633"/>
      <c r="U633"/>
      <c r="V633"/>
    </row>
    <row r="634" spans="1:22" x14ac:dyDescent="0.25">
      <c r="A634"/>
      <c r="B634" s="25" t="s">
        <v>209</v>
      </c>
      <c r="C634" s="268">
        <v>240</v>
      </c>
      <c r="D634" s="268">
        <v>973</v>
      </c>
      <c r="E634" s="268">
        <v>1213</v>
      </c>
      <c r="F634"/>
      <c r="G634"/>
      <c r="H634"/>
      <c r="I634"/>
      <c r="J634"/>
      <c r="K634"/>
      <c r="L634"/>
      <c r="M634"/>
      <c r="N634"/>
      <c r="O634"/>
      <c r="P634" s="712" t="s">
        <v>161</v>
      </c>
      <c r="Q634" s="713" t="s">
        <v>619</v>
      </c>
      <c r="R634"/>
      <c r="S634"/>
      <c r="T634"/>
      <c r="U634"/>
      <c r="V634"/>
    </row>
    <row r="635" spans="1:22" x14ac:dyDescent="0.25">
      <c r="A635"/>
      <c r="B635" s="25" t="s">
        <v>131</v>
      </c>
      <c r="C635" s="268"/>
      <c r="D635" s="268">
        <v>6050</v>
      </c>
      <c r="E635" s="268">
        <v>6050</v>
      </c>
      <c r="F635"/>
      <c r="G635"/>
      <c r="H635"/>
      <c r="I635"/>
      <c r="J635"/>
      <c r="K635"/>
      <c r="L635"/>
      <c r="M635"/>
      <c r="N635"/>
      <c r="O635"/>
      <c r="P635" s="712" t="s">
        <v>162</v>
      </c>
      <c r="Q635" s="713">
        <v>42400</v>
      </c>
      <c r="R635"/>
      <c r="S635"/>
      <c r="T635"/>
      <c r="U635"/>
      <c r="V635"/>
    </row>
    <row r="636" spans="1:22" x14ac:dyDescent="0.25">
      <c r="A636"/>
      <c r="B636" s="25" t="s">
        <v>460</v>
      </c>
      <c r="C636" s="268">
        <v>1401</v>
      </c>
      <c r="D636" s="268">
        <v>386</v>
      </c>
      <c r="E636" s="268">
        <v>1787</v>
      </c>
      <c r="F636"/>
      <c r="G636"/>
      <c r="H636"/>
      <c r="I636"/>
      <c r="J636"/>
      <c r="K636"/>
      <c r="L636"/>
      <c r="M636"/>
      <c r="N636"/>
      <c r="O636"/>
      <c r="P636" s="712" t="s">
        <v>163</v>
      </c>
      <c r="Q636" s="713">
        <v>42429</v>
      </c>
      <c r="R636"/>
      <c r="S636"/>
      <c r="T636"/>
      <c r="U636"/>
      <c r="V636"/>
    </row>
    <row r="637" spans="1:22" x14ac:dyDescent="0.25">
      <c r="A637"/>
      <c r="B637" s="25" t="s">
        <v>227</v>
      </c>
      <c r="C637" s="268">
        <v>39</v>
      </c>
      <c r="D637" s="268">
        <v>446</v>
      </c>
      <c r="E637" s="268">
        <v>485</v>
      </c>
      <c r="F637"/>
      <c r="G637"/>
      <c r="H637"/>
      <c r="I637"/>
      <c r="J637"/>
      <c r="K637"/>
      <c r="L637"/>
      <c r="M637"/>
      <c r="N637"/>
      <c r="P637" s="712" t="s">
        <v>199</v>
      </c>
      <c r="Q637" s="713" t="s">
        <v>619</v>
      </c>
      <c r="R637"/>
      <c r="S637"/>
      <c r="T637"/>
      <c r="U637"/>
      <c r="V637"/>
    </row>
    <row r="638" spans="1:22" x14ac:dyDescent="0.25">
      <c r="A638"/>
      <c r="B638" s="25" t="s">
        <v>219</v>
      </c>
      <c r="C638" s="268"/>
      <c r="D638" s="268">
        <v>426</v>
      </c>
      <c r="E638" s="268">
        <v>426</v>
      </c>
      <c r="F638"/>
      <c r="G638"/>
      <c r="H638"/>
      <c r="I638"/>
      <c r="J638"/>
      <c r="K638"/>
      <c r="L638"/>
      <c r="M638"/>
      <c r="N638"/>
      <c r="P638" s="712" t="s">
        <v>164</v>
      </c>
      <c r="Q638" s="713">
        <v>42369</v>
      </c>
      <c r="R638"/>
      <c r="S638"/>
      <c r="T638"/>
      <c r="U638"/>
      <c r="V638"/>
    </row>
    <row r="639" spans="1:22" x14ac:dyDescent="0.25">
      <c r="A639"/>
      <c r="B639" s="25" t="s">
        <v>218</v>
      </c>
      <c r="C639" s="268">
        <v>524</v>
      </c>
      <c r="D639" s="268">
        <v>108</v>
      </c>
      <c r="E639" s="268">
        <v>632</v>
      </c>
      <c r="F639"/>
      <c r="G639"/>
      <c r="H639"/>
      <c r="I639"/>
      <c r="J639"/>
      <c r="K639"/>
      <c r="L639"/>
      <c r="M639"/>
      <c r="N639"/>
      <c r="P639" s="712" t="s">
        <v>165</v>
      </c>
      <c r="Q639" s="713">
        <v>42429</v>
      </c>
      <c r="R639"/>
      <c r="S639"/>
      <c r="T639"/>
      <c r="U639"/>
      <c r="V639"/>
    </row>
    <row r="640" spans="1:22" x14ac:dyDescent="0.25">
      <c r="A640"/>
      <c r="B640" s="25" t="s">
        <v>910</v>
      </c>
      <c r="C640" s="268"/>
      <c r="D640" s="268">
        <v>1200</v>
      </c>
      <c r="E640" s="268">
        <v>1200</v>
      </c>
      <c r="F640"/>
      <c r="G640"/>
      <c r="H640"/>
      <c r="I640"/>
      <c r="J640"/>
      <c r="K640"/>
      <c r="L640"/>
      <c r="M640"/>
      <c r="N640"/>
      <c r="P640" s="712" t="s">
        <v>166</v>
      </c>
      <c r="Q640" s="713">
        <v>42400</v>
      </c>
      <c r="R640"/>
      <c r="S640"/>
      <c r="T640"/>
      <c r="U640"/>
      <c r="V640"/>
    </row>
    <row r="641" spans="2:22" x14ac:dyDescent="0.25">
      <c r="B641" s="25" t="s">
        <v>154</v>
      </c>
      <c r="C641" s="268">
        <v>1879</v>
      </c>
      <c r="D641" s="268">
        <v>8550</v>
      </c>
      <c r="E641" s="268">
        <v>10429</v>
      </c>
      <c r="F641"/>
      <c r="G641"/>
      <c r="H641"/>
      <c r="I641"/>
      <c r="J641"/>
      <c r="K641"/>
      <c r="L641"/>
      <c r="M641"/>
      <c r="N641"/>
      <c r="P641" s="712" t="s">
        <v>167</v>
      </c>
      <c r="Q641" s="713">
        <v>42429</v>
      </c>
      <c r="R641"/>
      <c r="S641"/>
      <c r="T641"/>
      <c r="U641"/>
      <c r="V641"/>
    </row>
    <row r="642" spans="2:22" x14ac:dyDescent="0.25">
      <c r="B642" s="25" t="s">
        <v>712</v>
      </c>
      <c r="C642" s="268">
        <v>524</v>
      </c>
      <c r="D642" s="268"/>
      <c r="E642" s="268">
        <v>524</v>
      </c>
      <c r="F642"/>
      <c r="G642"/>
      <c r="H642"/>
      <c r="I642"/>
      <c r="J642"/>
      <c r="K642"/>
      <c r="L642"/>
      <c r="M642"/>
      <c r="N642"/>
      <c r="P642" s="712" t="s">
        <v>168</v>
      </c>
      <c r="Q642" s="713">
        <v>42429</v>
      </c>
    </row>
    <row r="643" spans="2:22" x14ac:dyDescent="0.25">
      <c r="B643" s="25" t="s">
        <v>73</v>
      </c>
      <c r="C643" s="268">
        <v>51124</v>
      </c>
      <c r="D643" s="268">
        <v>27469</v>
      </c>
      <c r="E643" s="268">
        <v>78593</v>
      </c>
      <c r="F643"/>
      <c r="G643"/>
      <c r="H643"/>
      <c r="I643"/>
      <c r="J643"/>
      <c r="K643"/>
      <c r="L643"/>
      <c r="M643"/>
      <c r="N643"/>
      <c r="P643" s="712" t="s">
        <v>169</v>
      </c>
      <c r="Q643" s="713">
        <v>42400</v>
      </c>
    </row>
    <row r="644" spans="2:22" x14ac:dyDescent="0.25">
      <c r="B644"/>
      <c r="C644"/>
      <c r="D644"/>
      <c r="E644"/>
      <c r="F644"/>
      <c r="G644"/>
      <c r="H644"/>
      <c r="I644"/>
      <c r="J644"/>
      <c r="K644"/>
      <c r="L644"/>
      <c r="M644"/>
      <c r="N644"/>
      <c r="P644" s="712" t="s">
        <v>170</v>
      </c>
      <c r="Q644" s="713">
        <v>42429</v>
      </c>
    </row>
    <row r="645" spans="2:22" x14ac:dyDescent="0.25">
      <c r="B645"/>
      <c r="C645"/>
      <c r="D645"/>
      <c r="E645"/>
      <c r="F645"/>
      <c r="G645"/>
      <c r="H645"/>
      <c r="I645"/>
      <c r="J645"/>
      <c r="K645"/>
      <c r="L645"/>
      <c r="M645"/>
      <c r="N645"/>
      <c r="P645" s="712" t="s">
        <v>171</v>
      </c>
      <c r="Q645" s="713">
        <v>42429</v>
      </c>
    </row>
    <row r="646" spans="2:22" x14ac:dyDescent="0.25">
      <c r="B646"/>
      <c r="E646" s="11"/>
      <c r="P646" s="712" t="s">
        <v>172</v>
      </c>
      <c r="Q646" s="713">
        <v>42400</v>
      </c>
    </row>
    <row r="647" spans="2:22" x14ac:dyDescent="0.25">
      <c r="B647"/>
      <c r="E647" s="11"/>
      <c r="P647" s="712" t="s">
        <v>173</v>
      </c>
      <c r="Q647" s="713">
        <v>42429</v>
      </c>
    </row>
    <row r="648" spans="2:22" x14ac:dyDescent="0.25">
      <c r="B648"/>
      <c r="E648" s="11"/>
      <c r="P648" s="712" t="s">
        <v>676</v>
      </c>
      <c r="Q648" s="713">
        <v>42429</v>
      </c>
    </row>
    <row r="649" spans="2:22" x14ac:dyDescent="0.25">
      <c r="B649"/>
      <c r="E649" s="11"/>
      <c r="P649" s="712" t="s">
        <v>675</v>
      </c>
      <c r="Q649" s="713">
        <v>42429</v>
      </c>
    </row>
    <row r="650" spans="2:22" x14ac:dyDescent="0.25">
      <c r="B650"/>
      <c r="C650" s="11"/>
      <c r="D650" s="11"/>
      <c r="E650" s="11"/>
      <c r="P650" s="712" t="s">
        <v>174</v>
      </c>
      <c r="Q650" s="713">
        <v>42400</v>
      </c>
    </row>
    <row r="651" spans="2:22" x14ac:dyDescent="0.25">
      <c r="B651"/>
      <c r="C651" s="11"/>
      <c r="D651" s="11"/>
      <c r="E651" s="11"/>
    </row>
    <row r="652" spans="2:22" x14ac:dyDescent="0.25">
      <c r="B652"/>
      <c r="C652" s="11"/>
      <c r="D652" s="11"/>
      <c r="E652" s="11"/>
    </row>
    <row r="653" spans="2:22" x14ac:dyDescent="0.25">
      <c r="B653"/>
      <c r="C653"/>
      <c r="D653"/>
      <c r="E653"/>
    </row>
    <row r="654" spans="2:22" x14ac:dyDescent="0.25">
      <c r="B654" s="28" t="s">
        <v>3</v>
      </c>
      <c r="C654" t="s">
        <v>74</v>
      </c>
      <c r="D654"/>
      <c r="E654"/>
    </row>
    <row r="655" spans="2:22" x14ac:dyDescent="0.25">
      <c r="B655" s="28" t="s">
        <v>255</v>
      </c>
      <c r="C655" t="s">
        <v>74</v>
      </c>
      <c r="E655"/>
    </row>
    <row r="656" spans="2:22" x14ac:dyDescent="0.25">
      <c r="E656"/>
    </row>
    <row r="657" spans="2:6" x14ac:dyDescent="0.25">
      <c r="B657" s="28" t="s">
        <v>639</v>
      </c>
      <c r="C657" s="28" t="s">
        <v>248</v>
      </c>
      <c r="D657"/>
      <c r="E657"/>
      <c r="F657"/>
    </row>
    <row r="658" spans="2:6" x14ac:dyDescent="0.25">
      <c r="B658" s="28" t="s">
        <v>236</v>
      </c>
      <c r="C658" t="s">
        <v>285</v>
      </c>
      <c r="D658" t="s">
        <v>254</v>
      </c>
      <c r="E658" t="s">
        <v>73</v>
      </c>
      <c r="F658"/>
    </row>
    <row r="659" spans="2:6" x14ac:dyDescent="0.25">
      <c r="B659" s="25" t="s">
        <v>213</v>
      </c>
      <c r="C659" s="268">
        <v>78</v>
      </c>
      <c r="D659" s="268">
        <v>68</v>
      </c>
      <c r="E659" s="268">
        <v>146</v>
      </c>
      <c r="F659"/>
    </row>
    <row r="660" spans="2:6" x14ac:dyDescent="0.25">
      <c r="B660" s="25" t="s">
        <v>221</v>
      </c>
      <c r="C660" s="268">
        <v>16</v>
      </c>
      <c r="D660" s="268">
        <v>10</v>
      </c>
      <c r="E660" s="268">
        <v>26</v>
      </c>
      <c r="F660"/>
    </row>
    <row r="661" spans="2:6" x14ac:dyDescent="0.25">
      <c r="B661" s="25" t="s">
        <v>73</v>
      </c>
      <c r="C661" s="268">
        <v>94</v>
      </c>
      <c r="D661" s="268">
        <v>78</v>
      </c>
      <c r="E661" s="268">
        <v>172</v>
      </c>
      <c r="F661"/>
    </row>
    <row r="662" spans="2:6" x14ac:dyDescent="0.25">
      <c r="B662"/>
      <c r="C662"/>
      <c r="D662"/>
      <c r="E662"/>
    </row>
    <row r="663" spans="2:6" x14ac:dyDescent="0.25">
      <c r="B663"/>
      <c r="C663"/>
      <c r="D663"/>
      <c r="E663"/>
    </row>
    <row r="664" spans="2:6" x14ac:dyDescent="0.25">
      <c r="B664"/>
      <c r="C664"/>
      <c r="D664"/>
      <c r="E664"/>
    </row>
    <row r="665" spans="2:6" x14ac:dyDescent="0.25">
      <c r="B665"/>
      <c r="C665"/>
      <c r="D665"/>
      <c r="E665"/>
    </row>
    <row r="666" spans="2:6" x14ac:dyDescent="0.25">
      <c r="B666"/>
      <c r="C666"/>
      <c r="D666"/>
      <c r="E666"/>
    </row>
    <row r="667" spans="2:6" x14ac:dyDescent="0.25">
      <c r="B667"/>
      <c r="C667"/>
      <c r="D667"/>
      <c r="E667"/>
    </row>
    <row r="668" spans="2:6" x14ac:dyDescent="0.25">
      <c r="B668"/>
      <c r="C668"/>
      <c r="D668"/>
      <c r="E668"/>
    </row>
    <row r="669" spans="2:6" x14ac:dyDescent="0.25">
      <c r="B669"/>
      <c r="C669"/>
      <c r="D669"/>
      <c r="E669"/>
    </row>
    <row r="670" spans="2:6" x14ac:dyDescent="0.25">
      <c r="B670"/>
      <c r="C670"/>
      <c r="D670"/>
      <c r="E670"/>
    </row>
    <row r="671" spans="2:6" x14ac:dyDescent="0.25">
      <c r="B671" s="28" t="s">
        <v>3</v>
      </c>
      <c r="C671" t="s">
        <v>74</v>
      </c>
      <c r="D671"/>
      <c r="E671"/>
    </row>
    <row r="672" spans="2:6" x14ac:dyDescent="0.25">
      <c r="B672" s="28" t="s">
        <v>4</v>
      </c>
      <c r="C672" t="s">
        <v>74</v>
      </c>
      <c r="E672"/>
    </row>
    <row r="673" spans="2:47" x14ac:dyDescent="0.25">
      <c r="E673"/>
    </row>
    <row r="674" spans="2:47" x14ac:dyDescent="0.25">
      <c r="B674" s="28" t="s">
        <v>639</v>
      </c>
      <c r="C674" s="28" t="s">
        <v>248</v>
      </c>
      <c r="D674"/>
      <c r="E674"/>
    </row>
    <row r="675" spans="2:47" x14ac:dyDescent="0.25">
      <c r="B675" s="28" t="s">
        <v>236</v>
      </c>
      <c r="C675" t="s">
        <v>285</v>
      </c>
      <c r="D675" t="s">
        <v>254</v>
      </c>
      <c r="E675" t="s">
        <v>73</v>
      </c>
    </row>
    <row r="676" spans="2:47" x14ac:dyDescent="0.25">
      <c r="B676" s="25" t="s">
        <v>256</v>
      </c>
      <c r="C676" s="268">
        <v>19</v>
      </c>
      <c r="D676" s="268">
        <v>2</v>
      </c>
      <c r="E676" s="268">
        <v>21</v>
      </c>
    </row>
    <row r="677" spans="2:47" x14ac:dyDescent="0.25">
      <c r="B677" s="25" t="s">
        <v>257</v>
      </c>
      <c r="C677" s="268">
        <v>1</v>
      </c>
      <c r="D677" s="268">
        <v>30</v>
      </c>
      <c r="E677" s="268">
        <v>31</v>
      </c>
    </row>
    <row r="678" spans="2:47" x14ac:dyDescent="0.25">
      <c r="B678" s="25" t="s">
        <v>258</v>
      </c>
      <c r="C678" s="268"/>
      <c r="D678" s="268">
        <v>10</v>
      </c>
      <c r="E678" s="268">
        <v>10</v>
      </c>
    </row>
    <row r="679" spans="2:47" x14ac:dyDescent="0.25">
      <c r="B679" s="25" t="s">
        <v>259</v>
      </c>
      <c r="C679" s="268">
        <v>22</v>
      </c>
      <c r="D679" s="268">
        <v>12</v>
      </c>
      <c r="E679" s="268">
        <v>34</v>
      </c>
    </row>
    <row r="680" spans="2:47" x14ac:dyDescent="0.25">
      <c r="B680" s="25" t="s">
        <v>260</v>
      </c>
      <c r="C680" s="268">
        <v>3</v>
      </c>
      <c r="D680" s="268">
        <v>4</v>
      </c>
      <c r="E680" s="268">
        <v>7</v>
      </c>
    </row>
    <row r="681" spans="2:47" x14ac:dyDescent="0.25">
      <c r="B681" s="25" t="s">
        <v>265</v>
      </c>
      <c r="C681" s="268">
        <v>22</v>
      </c>
      <c r="D681" s="268">
        <v>2</v>
      </c>
      <c r="E681" s="268">
        <v>24</v>
      </c>
    </row>
    <row r="682" spans="2:47" x14ac:dyDescent="0.25">
      <c r="B682" s="25" t="s">
        <v>266</v>
      </c>
      <c r="C682" s="268">
        <v>10</v>
      </c>
      <c r="D682" s="268">
        <v>6</v>
      </c>
      <c r="E682" s="268">
        <v>16</v>
      </c>
    </row>
    <row r="683" spans="2:47" x14ac:dyDescent="0.25">
      <c r="B683" s="25" t="s">
        <v>267</v>
      </c>
      <c r="C683" s="268">
        <v>13</v>
      </c>
      <c r="D683" s="268"/>
      <c r="E683" s="268">
        <v>13</v>
      </c>
    </row>
    <row r="684" spans="2:47" x14ac:dyDescent="0.25">
      <c r="B684" s="25" t="s">
        <v>268</v>
      </c>
      <c r="C684" s="268">
        <v>2</v>
      </c>
      <c r="D684" s="268">
        <v>2</v>
      </c>
      <c r="E684" s="268">
        <v>4</v>
      </c>
    </row>
    <row r="685" spans="2:47" x14ac:dyDescent="0.25">
      <c r="B685" s="25" t="s">
        <v>313</v>
      </c>
      <c r="C685" s="268">
        <v>2</v>
      </c>
      <c r="D685" s="268">
        <v>10</v>
      </c>
      <c r="E685" s="268">
        <v>12</v>
      </c>
    </row>
    <row r="686" spans="2:47" x14ac:dyDescent="0.25">
      <c r="B686" s="25" t="s">
        <v>73</v>
      </c>
      <c r="C686" s="268">
        <v>94</v>
      </c>
      <c r="D686" s="268">
        <v>78</v>
      </c>
      <c r="E686" s="268">
        <v>172</v>
      </c>
    </row>
    <row r="687" spans="2:47" x14ac:dyDescent="0.25">
      <c r="B687" s="25"/>
      <c r="C687" s="268"/>
      <c r="D687" s="268"/>
      <c r="E687" s="268"/>
    </row>
    <row r="688" spans="2:47" x14ac:dyDescent="0.25">
      <c r="B688" s="28" t="s">
        <v>236</v>
      </c>
      <c r="C688" s="278" t="s">
        <v>755</v>
      </c>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row>
    <row r="689" spans="2:47" x14ac:dyDescent="0.25">
      <c r="B689" s="25" t="s">
        <v>619</v>
      </c>
      <c r="C689" s="604"/>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row>
    <row r="690" spans="2:47" x14ac:dyDescent="0.25">
      <c r="B690" s="313" t="s">
        <v>175</v>
      </c>
      <c r="C690" s="604">
        <v>1</v>
      </c>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row>
    <row r="691" spans="2:47" x14ac:dyDescent="0.25">
      <c r="B691" s="314" t="s">
        <v>299</v>
      </c>
      <c r="C691" s="604">
        <v>1</v>
      </c>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row>
    <row r="692" spans="2:47" x14ac:dyDescent="0.25">
      <c r="B692" s="313" t="s">
        <v>104</v>
      </c>
      <c r="C692" s="604">
        <v>4</v>
      </c>
      <c r="D692"/>
      <c r="E692"/>
      <c r="F692"/>
      <c r="G692"/>
      <c r="H692"/>
      <c r="I692"/>
      <c r="J692"/>
      <c r="K692"/>
    </row>
    <row r="693" spans="2:47" x14ac:dyDescent="0.25">
      <c r="B693" s="314" t="s">
        <v>299</v>
      </c>
      <c r="C693" s="604">
        <v>4</v>
      </c>
      <c r="D693"/>
      <c r="E693"/>
      <c r="F693"/>
      <c r="G693"/>
      <c r="H693"/>
      <c r="I693"/>
      <c r="J693"/>
      <c r="K693"/>
    </row>
    <row r="694" spans="2:47" x14ac:dyDescent="0.25">
      <c r="B694" s="313" t="s">
        <v>107</v>
      </c>
      <c r="C694" s="604">
        <v>2</v>
      </c>
      <c r="D694"/>
      <c r="E694"/>
      <c r="F694"/>
      <c r="G694"/>
      <c r="H694"/>
      <c r="I694"/>
      <c r="J694"/>
      <c r="K694"/>
    </row>
    <row r="695" spans="2:47" x14ac:dyDescent="0.25">
      <c r="B695" s="313" t="s">
        <v>124</v>
      </c>
      <c r="C695" s="604">
        <v>1</v>
      </c>
      <c r="D695"/>
      <c r="E695"/>
      <c r="F695"/>
      <c r="G695"/>
      <c r="H695"/>
      <c r="I695"/>
      <c r="J695"/>
      <c r="K695"/>
    </row>
    <row r="696" spans="2:47" x14ac:dyDescent="0.25">
      <c r="B696" s="313" t="s">
        <v>181</v>
      </c>
      <c r="C696" s="604">
        <v>4</v>
      </c>
      <c r="D696"/>
      <c r="E696"/>
      <c r="F696"/>
      <c r="G696"/>
      <c r="H696"/>
      <c r="I696"/>
      <c r="J696"/>
      <c r="K696"/>
    </row>
    <row r="697" spans="2:47" x14ac:dyDescent="0.25">
      <c r="B697" s="314" t="s">
        <v>299</v>
      </c>
      <c r="C697" s="604">
        <v>4</v>
      </c>
      <c r="D697"/>
      <c r="E697"/>
      <c r="F697"/>
      <c r="G697"/>
      <c r="H697"/>
      <c r="I697"/>
      <c r="J697"/>
      <c r="K697"/>
    </row>
    <row r="698" spans="2:47" x14ac:dyDescent="0.25">
      <c r="B698" s="313" t="s">
        <v>182</v>
      </c>
      <c r="C698" s="604">
        <v>1</v>
      </c>
      <c r="D698"/>
      <c r="E698"/>
      <c r="F698"/>
      <c r="G698"/>
      <c r="H698"/>
      <c r="I698"/>
      <c r="J698"/>
      <c r="K698"/>
    </row>
    <row r="699" spans="2:47" x14ac:dyDescent="0.25">
      <c r="B699" s="313" t="s">
        <v>220</v>
      </c>
      <c r="C699" s="604">
        <v>6</v>
      </c>
      <c r="D699"/>
      <c r="E699"/>
      <c r="F699"/>
      <c r="G699"/>
      <c r="H699"/>
      <c r="I699"/>
      <c r="J699"/>
      <c r="K699"/>
    </row>
    <row r="700" spans="2:47" x14ac:dyDescent="0.25">
      <c r="B700" s="313" t="s">
        <v>129</v>
      </c>
      <c r="C700" s="604">
        <v>4</v>
      </c>
      <c r="D700"/>
      <c r="E700"/>
      <c r="F700"/>
      <c r="G700"/>
      <c r="H700"/>
      <c r="I700"/>
      <c r="J700"/>
      <c r="K700"/>
    </row>
    <row r="701" spans="2:47" x14ac:dyDescent="0.25">
      <c r="B701" s="314" t="s">
        <v>299</v>
      </c>
      <c r="C701" s="604">
        <v>4</v>
      </c>
      <c r="D701"/>
      <c r="E701"/>
      <c r="F701"/>
      <c r="G701"/>
    </row>
    <row r="702" spans="2:47" x14ac:dyDescent="0.25">
      <c r="B702" s="313" t="s">
        <v>183</v>
      </c>
      <c r="C702" s="604">
        <v>8</v>
      </c>
      <c r="D702"/>
      <c r="E702"/>
      <c r="F702"/>
      <c r="G702"/>
    </row>
    <row r="703" spans="2:47" x14ac:dyDescent="0.25">
      <c r="B703" s="314" t="s">
        <v>299</v>
      </c>
      <c r="C703" s="604">
        <v>8</v>
      </c>
      <c r="D703"/>
      <c r="E703"/>
      <c r="F703"/>
      <c r="G703"/>
    </row>
    <row r="704" spans="2:47" x14ac:dyDescent="0.25">
      <c r="B704" s="313" t="s">
        <v>209</v>
      </c>
      <c r="C704" s="604">
        <v>4</v>
      </c>
      <c r="D704"/>
      <c r="E704"/>
      <c r="F704"/>
      <c r="G704"/>
    </row>
    <row r="705" spans="2:18" x14ac:dyDescent="0.25">
      <c r="B705" s="314" t="s">
        <v>299</v>
      </c>
      <c r="C705" s="604">
        <v>4</v>
      </c>
      <c r="D705"/>
      <c r="E705"/>
      <c r="F705"/>
      <c r="G705"/>
    </row>
    <row r="706" spans="2:18" x14ac:dyDescent="0.25">
      <c r="B706" s="313" t="s">
        <v>131</v>
      </c>
      <c r="C706" s="604">
        <v>24</v>
      </c>
      <c r="D706"/>
      <c r="E706"/>
      <c r="F706"/>
      <c r="G706"/>
    </row>
    <row r="707" spans="2:18" x14ac:dyDescent="0.25">
      <c r="B707" s="314" t="s">
        <v>299</v>
      </c>
      <c r="C707" s="604">
        <v>24</v>
      </c>
      <c r="D707"/>
      <c r="E707"/>
      <c r="F707"/>
      <c r="G707"/>
    </row>
    <row r="708" spans="2:18" x14ac:dyDescent="0.25">
      <c r="B708" s="313" t="s">
        <v>460</v>
      </c>
      <c r="C708" s="604">
        <v>1</v>
      </c>
      <c r="D708"/>
      <c r="E708"/>
      <c r="F708"/>
      <c r="G708"/>
    </row>
    <row r="709" spans="2:18" ht="19.5" customHeight="1" x14ac:dyDescent="0.25">
      <c r="B709" s="314" t="s">
        <v>299</v>
      </c>
      <c r="C709" s="604">
        <v>1</v>
      </c>
      <c r="D709" s="11"/>
      <c r="E709" s="11"/>
    </row>
    <row r="710" spans="2:18" x14ac:dyDescent="0.25">
      <c r="B710" s="28" t="s">
        <v>4</v>
      </c>
      <c r="C710" t="s">
        <v>74</v>
      </c>
      <c r="D710"/>
      <c r="E710"/>
    </row>
    <row r="711" spans="2:18" x14ac:dyDescent="0.25">
      <c r="B711" s="28" t="s">
        <v>0</v>
      </c>
      <c r="C711" t="s">
        <v>74</v>
      </c>
      <c r="E711"/>
    </row>
    <row r="712" spans="2:18" x14ac:dyDescent="0.25">
      <c r="E712"/>
    </row>
    <row r="713" spans="2:18" ht="78.75" x14ac:dyDescent="0.25">
      <c r="B713" s="316" t="s">
        <v>236</v>
      </c>
      <c r="C713" s="318" t="s">
        <v>704</v>
      </c>
      <c r="D713" s="318" t="s">
        <v>703</v>
      </c>
      <c r="E713" s="318" t="s">
        <v>640</v>
      </c>
      <c r="F713" s="318" t="s">
        <v>641</v>
      </c>
      <c r="G713"/>
      <c r="H713"/>
      <c r="I713"/>
      <c r="J713"/>
      <c r="K713"/>
      <c r="L713"/>
      <c r="M713"/>
      <c r="N713"/>
      <c r="O713"/>
      <c r="P713"/>
      <c r="Q713"/>
      <c r="R713"/>
    </row>
    <row r="714" spans="2:18" x14ac:dyDescent="0.25">
      <c r="B714" s="25" t="s">
        <v>234</v>
      </c>
      <c r="C714" s="268">
        <v>1</v>
      </c>
      <c r="D714" s="268">
        <v>7852</v>
      </c>
      <c r="E714" s="265">
        <v>1</v>
      </c>
      <c r="F714" s="265">
        <v>1</v>
      </c>
      <c r="G714"/>
      <c r="H714"/>
      <c r="I714"/>
      <c r="J714"/>
      <c r="K714"/>
      <c r="L714"/>
      <c r="M714"/>
      <c r="N714"/>
      <c r="O714"/>
      <c r="P714"/>
      <c r="Q714"/>
      <c r="R714"/>
    </row>
    <row r="715" spans="2:18" s="317" customFormat="1" x14ac:dyDescent="0.25">
      <c r="B715" s="278" t="s">
        <v>442</v>
      </c>
      <c r="C715" s="268">
        <v>1</v>
      </c>
      <c r="D715" s="268">
        <v>7852</v>
      </c>
      <c r="E715" s="265">
        <v>1</v>
      </c>
      <c r="F715" s="265">
        <v>1</v>
      </c>
      <c r="G715"/>
      <c r="H715"/>
      <c r="I715"/>
      <c r="J715"/>
      <c r="K715"/>
      <c r="L715"/>
      <c r="M715"/>
      <c r="N715"/>
      <c r="O715"/>
      <c r="P715"/>
      <c r="Q715"/>
      <c r="R715"/>
    </row>
    <row r="716" spans="2:18" x14ac:dyDescent="0.25">
      <c r="B716" s="25" t="s">
        <v>230</v>
      </c>
      <c r="C716" s="268">
        <v>9</v>
      </c>
      <c r="D716" s="268">
        <v>3933</v>
      </c>
      <c r="E716" s="265">
        <v>1</v>
      </c>
      <c r="F716" s="265">
        <v>0.66971777269260102</v>
      </c>
      <c r="G716"/>
      <c r="H716"/>
      <c r="I716"/>
      <c r="J716"/>
      <c r="K716"/>
      <c r="L716"/>
      <c r="M716"/>
      <c r="N716"/>
      <c r="O716"/>
      <c r="P716"/>
      <c r="Q716"/>
      <c r="R716"/>
    </row>
    <row r="717" spans="2:18" x14ac:dyDescent="0.25">
      <c r="B717" s="278" t="s">
        <v>442</v>
      </c>
      <c r="C717" s="268">
        <v>9</v>
      </c>
      <c r="D717" s="268">
        <v>3933</v>
      </c>
      <c r="E717" s="265">
        <v>1</v>
      </c>
      <c r="F717" s="265">
        <v>0.66971777269260102</v>
      </c>
      <c r="G717"/>
      <c r="H717"/>
      <c r="I717"/>
      <c r="J717"/>
      <c r="K717"/>
      <c r="L717"/>
      <c r="M717"/>
      <c r="N717"/>
      <c r="O717"/>
      <c r="P717"/>
      <c r="Q717"/>
      <c r="R717"/>
    </row>
    <row r="718" spans="2:18" x14ac:dyDescent="0.25">
      <c r="B718" s="25" t="s">
        <v>232</v>
      </c>
      <c r="C718" s="268">
        <v>33</v>
      </c>
      <c r="D718" s="268">
        <v>14307</v>
      </c>
      <c r="E718" s="265">
        <v>0.79280538664057232</v>
      </c>
      <c r="F718" s="265">
        <v>0.75256867267771022</v>
      </c>
      <c r="G718"/>
      <c r="H718"/>
      <c r="I718"/>
      <c r="J718"/>
      <c r="K718"/>
      <c r="L718"/>
      <c r="M718"/>
      <c r="N718"/>
      <c r="O718"/>
      <c r="P718"/>
      <c r="Q718"/>
      <c r="R718"/>
    </row>
    <row r="719" spans="2:18" x14ac:dyDescent="0.25">
      <c r="B719" s="278" t="s">
        <v>442</v>
      </c>
      <c r="C719" s="268">
        <v>30</v>
      </c>
      <c r="D719" s="268">
        <v>11532</v>
      </c>
      <c r="E719" s="265">
        <v>0.98358191698462261</v>
      </c>
      <c r="F719" s="265">
        <v>0.93366285119667014</v>
      </c>
      <c r="G719"/>
      <c r="H719"/>
      <c r="I719"/>
      <c r="J719"/>
      <c r="K719"/>
      <c r="L719"/>
      <c r="M719"/>
      <c r="N719"/>
      <c r="O719"/>
      <c r="P719"/>
      <c r="Q719"/>
      <c r="R719"/>
    </row>
    <row r="720" spans="2:18" x14ac:dyDescent="0.25">
      <c r="B720" s="278" t="s">
        <v>443</v>
      </c>
      <c r="C720" s="268">
        <v>3</v>
      </c>
      <c r="D720" s="268">
        <v>2775</v>
      </c>
      <c r="E720" s="265">
        <v>0</v>
      </c>
      <c r="F720" s="265">
        <v>0</v>
      </c>
      <c r="G720"/>
      <c r="H720"/>
      <c r="I720"/>
      <c r="J720"/>
      <c r="K720"/>
      <c r="L720"/>
      <c r="M720"/>
      <c r="N720"/>
      <c r="O720"/>
      <c r="P720"/>
      <c r="Q720"/>
      <c r="R720"/>
    </row>
    <row r="721" spans="2:18" x14ac:dyDescent="0.25">
      <c r="B721" s="25" t="s">
        <v>299</v>
      </c>
      <c r="C721" s="268">
        <v>78</v>
      </c>
      <c r="D721" s="268">
        <v>27469</v>
      </c>
      <c r="E721" s="265">
        <v>0.80694552647226558</v>
      </c>
      <c r="F721" s="265">
        <v>0.80578106228839785</v>
      </c>
      <c r="G721"/>
      <c r="H721"/>
      <c r="I721"/>
      <c r="J721"/>
      <c r="K721"/>
      <c r="L721"/>
      <c r="M721"/>
      <c r="N721"/>
      <c r="O721"/>
      <c r="P721"/>
      <c r="Q721"/>
      <c r="R721"/>
    </row>
    <row r="722" spans="2:18" x14ac:dyDescent="0.25">
      <c r="B722" s="278" t="s">
        <v>442</v>
      </c>
      <c r="C722" s="268">
        <v>54</v>
      </c>
      <c r="D722" s="268">
        <v>20435</v>
      </c>
      <c r="E722" s="265">
        <v>0.9012961422396214</v>
      </c>
      <c r="F722" s="265">
        <v>0.90912649865426964</v>
      </c>
      <c r="G722"/>
      <c r="H722"/>
      <c r="I722"/>
      <c r="J722"/>
      <c r="K722"/>
      <c r="L722"/>
      <c r="M722"/>
      <c r="N722"/>
      <c r="O722"/>
      <c r="P722"/>
      <c r="Q722"/>
      <c r="R722"/>
    </row>
    <row r="723" spans="2:18" x14ac:dyDescent="0.25">
      <c r="B723" s="278" t="s">
        <v>443</v>
      </c>
      <c r="C723" s="268">
        <v>4</v>
      </c>
      <c r="D723" s="268">
        <v>1129</v>
      </c>
      <c r="E723" s="265">
        <v>0.95659875996457044</v>
      </c>
      <c r="F723" s="265">
        <v>0.65013286093888401</v>
      </c>
      <c r="G723"/>
      <c r="H723"/>
      <c r="I723"/>
      <c r="J723"/>
      <c r="K723"/>
      <c r="L723"/>
      <c r="M723"/>
      <c r="N723"/>
      <c r="O723"/>
      <c r="P723"/>
      <c r="Q723"/>
      <c r="R723"/>
    </row>
    <row r="724" spans="2:18" x14ac:dyDescent="0.25">
      <c r="B724" s="313" t="s">
        <v>453</v>
      </c>
      <c r="C724" s="268">
        <v>20</v>
      </c>
      <c r="D724" s="268">
        <v>5905</v>
      </c>
      <c r="E724" s="265">
        <v>0.45182049110922945</v>
      </c>
      <c r="F724" s="265">
        <v>0.47790008467400508</v>
      </c>
      <c r="G724"/>
      <c r="H724"/>
      <c r="I724"/>
      <c r="J724"/>
      <c r="K724"/>
      <c r="L724"/>
      <c r="M724"/>
      <c r="N724"/>
      <c r="O724"/>
      <c r="P724"/>
      <c r="Q724"/>
      <c r="R724"/>
    </row>
    <row r="725" spans="2:18" x14ac:dyDescent="0.25">
      <c r="B725" s="25" t="s">
        <v>407</v>
      </c>
      <c r="C725" s="268">
        <v>6</v>
      </c>
      <c r="D725" s="268">
        <v>4284</v>
      </c>
      <c r="E725" s="265">
        <v>1</v>
      </c>
      <c r="F725" s="265">
        <v>0.78151260504201681</v>
      </c>
      <c r="G725"/>
      <c r="H725"/>
      <c r="I725"/>
      <c r="J725"/>
      <c r="K725"/>
      <c r="L725"/>
      <c r="M725"/>
      <c r="N725"/>
      <c r="O725"/>
      <c r="P725"/>
      <c r="Q725"/>
      <c r="R725"/>
    </row>
    <row r="726" spans="2:18" x14ac:dyDescent="0.25">
      <c r="B726" s="278" t="s">
        <v>442</v>
      </c>
      <c r="C726" s="268">
        <v>6</v>
      </c>
      <c r="D726" s="268">
        <v>4284</v>
      </c>
      <c r="E726" s="265">
        <v>1</v>
      </c>
      <c r="F726" s="265">
        <v>0.78151260504201681</v>
      </c>
      <c r="G726"/>
      <c r="H726"/>
      <c r="I726"/>
      <c r="J726"/>
      <c r="K726"/>
      <c r="L726"/>
      <c r="M726"/>
      <c r="N726"/>
      <c r="O726"/>
      <c r="P726"/>
      <c r="Q726"/>
      <c r="R726"/>
    </row>
    <row r="727" spans="2:18" x14ac:dyDescent="0.25">
      <c r="B727" s="25" t="s">
        <v>275</v>
      </c>
      <c r="C727" s="268">
        <v>17</v>
      </c>
      <c r="D727" s="268">
        <v>2759</v>
      </c>
      <c r="E727" s="265">
        <v>0.91277032741331388</v>
      </c>
      <c r="F727" s="265">
        <v>0.79304095686843057</v>
      </c>
      <c r="G727"/>
      <c r="H727"/>
      <c r="I727"/>
      <c r="J727"/>
      <c r="K727"/>
      <c r="L727"/>
      <c r="M727"/>
      <c r="N727"/>
      <c r="O727"/>
      <c r="P727"/>
      <c r="Q727"/>
      <c r="R727"/>
    </row>
    <row r="728" spans="2:18" x14ac:dyDescent="0.25">
      <c r="B728" s="278" t="s">
        <v>442</v>
      </c>
      <c r="C728" s="268">
        <v>17</v>
      </c>
      <c r="D728" s="268">
        <v>2759</v>
      </c>
      <c r="E728" s="265">
        <v>0.91277032741331388</v>
      </c>
      <c r="F728" s="265">
        <v>0.79304095686843057</v>
      </c>
      <c r="G728"/>
      <c r="H728"/>
      <c r="I728"/>
      <c r="J728"/>
      <c r="K728"/>
      <c r="L728"/>
      <c r="M728"/>
      <c r="N728"/>
      <c r="O728"/>
      <c r="P728"/>
      <c r="Q728"/>
      <c r="R728"/>
    </row>
    <row r="729" spans="2:18" x14ac:dyDescent="0.25">
      <c r="B729" s="25" t="s">
        <v>233</v>
      </c>
      <c r="C729" s="268">
        <v>16</v>
      </c>
      <c r="D729" s="268">
        <v>8467</v>
      </c>
      <c r="E729" s="265">
        <v>1</v>
      </c>
      <c r="F729" s="265">
        <v>0.83063658911066496</v>
      </c>
      <c r="G729"/>
      <c r="H729"/>
      <c r="I729"/>
      <c r="J729"/>
      <c r="K729"/>
      <c r="L729"/>
      <c r="M729"/>
      <c r="N729"/>
      <c r="O729"/>
      <c r="P729"/>
      <c r="Q729"/>
      <c r="R729"/>
    </row>
    <row r="730" spans="2:18" x14ac:dyDescent="0.25">
      <c r="B730" s="278" t="s">
        <v>442</v>
      </c>
      <c r="C730" s="268">
        <v>15</v>
      </c>
      <c r="D730" s="268">
        <v>8313</v>
      </c>
      <c r="E730" s="265">
        <v>1</v>
      </c>
      <c r="F730" s="265">
        <v>0.82749909779862862</v>
      </c>
      <c r="G730"/>
      <c r="H730"/>
      <c r="I730"/>
      <c r="J730"/>
      <c r="K730"/>
      <c r="L730"/>
      <c r="M730"/>
      <c r="N730"/>
      <c r="O730"/>
      <c r="P730"/>
      <c r="Q730"/>
      <c r="R730"/>
    </row>
    <row r="731" spans="2:18" x14ac:dyDescent="0.25">
      <c r="B731" s="278" t="s">
        <v>443</v>
      </c>
      <c r="C731" s="268">
        <v>1</v>
      </c>
      <c r="D731" s="268">
        <v>154</v>
      </c>
      <c r="E731" s="265">
        <v>1</v>
      </c>
      <c r="F731" s="265">
        <v>1</v>
      </c>
      <c r="G731"/>
      <c r="H731"/>
      <c r="I731"/>
      <c r="J731"/>
      <c r="K731"/>
      <c r="L731"/>
      <c r="M731"/>
      <c r="N731"/>
      <c r="O731"/>
      <c r="P731"/>
      <c r="Q731"/>
      <c r="R731"/>
    </row>
    <row r="732" spans="2:18" x14ac:dyDescent="0.25">
      <c r="B732" s="25" t="s">
        <v>284</v>
      </c>
      <c r="C732" s="268">
        <v>12</v>
      </c>
      <c r="D732" s="268">
        <v>9522</v>
      </c>
      <c r="E732" s="265">
        <v>1</v>
      </c>
      <c r="F732" s="265">
        <v>0.92879647132955256</v>
      </c>
      <c r="G732"/>
      <c r="H732"/>
      <c r="I732"/>
      <c r="J732"/>
      <c r="K732"/>
      <c r="L732"/>
      <c r="M732"/>
      <c r="N732"/>
      <c r="O732"/>
      <c r="P732"/>
      <c r="Q732"/>
      <c r="R732"/>
    </row>
    <row r="733" spans="2:18" x14ac:dyDescent="0.25">
      <c r="B733" s="278" t="s">
        <v>442</v>
      </c>
      <c r="C733" s="268">
        <v>8</v>
      </c>
      <c r="D733" s="268">
        <v>8146</v>
      </c>
      <c r="E733" s="265">
        <v>1</v>
      </c>
      <c r="F733" s="265">
        <v>0.93604222931500125</v>
      </c>
      <c r="G733"/>
      <c r="H733"/>
      <c r="I733"/>
      <c r="J733"/>
      <c r="K733"/>
      <c r="L733"/>
      <c r="M733"/>
      <c r="N733"/>
      <c r="O733"/>
      <c r="P733"/>
      <c r="Q733"/>
      <c r="R733"/>
    </row>
    <row r="734" spans="2:18" x14ac:dyDescent="0.25">
      <c r="B734" s="278" t="s">
        <v>443</v>
      </c>
      <c r="C734" s="268">
        <v>3</v>
      </c>
      <c r="D734" s="268">
        <v>1050</v>
      </c>
      <c r="E734" s="265">
        <v>1</v>
      </c>
      <c r="F734" s="265">
        <v>0.8504761904761905</v>
      </c>
      <c r="G734"/>
      <c r="H734"/>
      <c r="I734"/>
      <c r="J734"/>
      <c r="K734"/>
      <c r="L734"/>
      <c r="M734"/>
      <c r="N734"/>
      <c r="O734"/>
      <c r="P734"/>
      <c r="Q734"/>
      <c r="R734"/>
    </row>
    <row r="735" spans="2:18" x14ac:dyDescent="0.25">
      <c r="B735" s="313" t="s">
        <v>453</v>
      </c>
      <c r="C735" s="268">
        <v>1</v>
      </c>
      <c r="D735" s="268">
        <v>326</v>
      </c>
      <c r="E735" s="265">
        <v>1</v>
      </c>
      <c r="F735" s="265">
        <v>1</v>
      </c>
      <c r="G735"/>
      <c r="H735"/>
      <c r="I735"/>
      <c r="J735"/>
      <c r="K735"/>
      <c r="L735"/>
      <c r="M735"/>
      <c r="N735"/>
      <c r="O735"/>
      <c r="P735"/>
      <c r="Q735"/>
      <c r="R735"/>
    </row>
    <row r="736" spans="2:18" x14ac:dyDescent="0.25">
      <c r="B736" s="25" t="s">
        <v>73</v>
      </c>
      <c r="C736" s="268">
        <v>172</v>
      </c>
      <c r="D736" s="268">
        <v>78593</v>
      </c>
      <c r="E736" s="265">
        <v>0.89174591460647468</v>
      </c>
      <c r="F736" s="265">
        <v>0.82450090975023216</v>
      </c>
      <c r="G736"/>
      <c r="H736"/>
      <c r="I736"/>
      <c r="J736"/>
      <c r="K736"/>
      <c r="L736"/>
      <c r="M736"/>
      <c r="N736"/>
      <c r="O736"/>
      <c r="P736"/>
      <c r="Q736"/>
      <c r="R736"/>
    </row>
    <row r="737" spans="2:18" x14ac:dyDescent="0.25">
      <c r="B737"/>
      <c r="C737"/>
      <c r="D737"/>
      <c r="E737"/>
      <c r="F737"/>
      <c r="G737"/>
      <c r="H737"/>
      <c r="I737"/>
      <c r="J737"/>
      <c r="K737"/>
      <c r="L737"/>
      <c r="M737"/>
      <c r="N737"/>
      <c r="O737"/>
      <c r="P737"/>
      <c r="Q737"/>
      <c r="R737"/>
    </row>
    <row r="738" spans="2:18" x14ac:dyDescent="0.25">
      <c r="B738"/>
      <c r="C738"/>
      <c r="D738"/>
      <c r="E738"/>
      <c r="F738"/>
      <c r="G738"/>
      <c r="H738"/>
      <c r="I738"/>
      <c r="J738"/>
      <c r="K738"/>
      <c r="L738"/>
      <c r="M738"/>
      <c r="N738"/>
      <c r="O738"/>
      <c r="P738"/>
      <c r="Q738"/>
      <c r="R738"/>
    </row>
    <row r="739" spans="2:18" x14ac:dyDescent="0.25">
      <c r="B739"/>
      <c r="C739"/>
      <c r="D739"/>
      <c r="E739"/>
      <c r="F739"/>
      <c r="G739"/>
      <c r="H739"/>
      <c r="I739"/>
      <c r="J739"/>
      <c r="K739"/>
      <c r="L739"/>
      <c r="M739"/>
      <c r="N739"/>
      <c r="O739"/>
      <c r="P739"/>
      <c r="Q739"/>
      <c r="R739"/>
    </row>
    <row r="740" spans="2:18" x14ac:dyDescent="0.25">
      <c r="B740"/>
      <c r="C740"/>
      <c r="D740"/>
      <c r="E740"/>
      <c r="F740"/>
      <c r="G740"/>
      <c r="H740"/>
      <c r="I740"/>
      <c r="J740"/>
      <c r="K740"/>
      <c r="L740"/>
      <c r="M740"/>
      <c r="N740"/>
      <c r="O740"/>
      <c r="P740"/>
      <c r="Q740"/>
      <c r="R740"/>
    </row>
    <row r="741" spans="2:18" x14ac:dyDescent="0.25">
      <c r="B741"/>
      <c r="C741"/>
      <c r="D741"/>
      <c r="E741"/>
      <c r="F741"/>
      <c r="G741"/>
      <c r="H741"/>
      <c r="I741"/>
      <c r="J741"/>
      <c r="K741"/>
      <c r="L741"/>
      <c r="M741"/>
      <c r="N741"/>
      <c r="O741"/>
      <c r="P741"/>
      <c r="Q741"/>
      <c r="R741"/>
    </row>
    <row r="742" spans="2:18" x14ac:dyDescent="0.25">
      <c r="B742"/>
      <c r="C742"/>
      <c r="D742"/>
      <c r="E742"/>
      <c r="F742"/>
      <c r="G742"/>
      <c r="H742"/>
      <c r="I742"/>
      <c r="J742"/>
      <c r="K742"/>
      <c r="L742"/>
      <c r="M742"/>
      <c r="N742"/>
      <c r="O742"/>
      <c r="P742"/>
      <c r="Q742"/>
      <c r="R742"/>
    </row>
    <row r="743" spans="2:18" x14ac:dyDescent="0.25">
      <c r="B743"/>
      <c r="C743"/>
      <c r="D743"/>
      <c r="E743"/>
      <c r="F743"/>
      <c r="G743"/>
      <c r="H743"/>
      <c r="I743"/>
      <c r="J743"/>
      <c r="K743"/>
      <c r="L743"/>
      <c r="M743"/>
      <c r="N743"/>
      <c r="O743"/>
      <c r="P743"/>
      <c r="Q743"/>
      <c r="R743"/>
    </row>
    <row r="744" spans="2:18" x14ac:dyDescent="0.25">
      <c r="B744"/>
      <c r="C744"/>
      <c r="D744"/>
      <c r="E744"/>
      <c r="F744"/>
      <c r="G744"/>
      <c r="H744"/>
    </row>
    <row r="745" spans="2:18" x14ac:dyDescent="0.25">
      <c r="B745" s="28" t="s">
        <v>4</v>
      </c>
      <c r="C745" t="s">
        <v>74</v>
      </c>
      <c r="D745"/>
      <c r="E745"/>
      <c r="F745"/>
      <c r="G745"/>
      <c r="H745"/>
    </row>
    <row r="746" spans="2:18" x14ac:dyDescent="0.25">
      <c r="B746" s="28" t="s">
        <v>285</v>
      </c>
      <c r="C746" t="s">
        <v>74</v>
      </c>
      <c r="D746"/>
      <c r="E746"/>
      <c r="F746"/>
      <c r="G746"/>
      <c r="H746"/>
    </row>
    <row r="747" spans="2:18" x14ac:dyDescent="0.25">
      <c r="D747"/>
      <c r="E747"/>
      <c r="F747"/>
      <c r="G747"/>
      <c r="H747"/>
    </row>
    <row r="748" spans="2:18" x14ac:dyDescent="0.25">
      <c r="B748" s="28" t="s">
        <v>236</v>
      </c>
      <c r="C748" t="s">
        <v>237</v>
      </c>
      <c r="D748" t="s">
        <v>882</v>
      </c>
      <c r="E748"/>
      <c r="F748" s="279"/>
      <c r="G748" s="279"/>
      <c r="H748" s="279"/>
    </row>
    <row r="749" spans="2:18" x14ac:dyDescent="0.25">
      <c r="B749" s="25" t="s">
        <v>800</v>
      </c>
      <c r="C749" s="268">
        <v>64547</v>
      </c>
      <c r="D749" s="268">
        <v>62008</v>
      </c>
      <c r="E749"/>
      <c r="F749"/>
      <c r="G749"/>
      <c r="H749"/>
    </row>
    <row r="750" spans="2:18" x14ac:dyDescent="0.25">
      <c r="B750" s="25" t="s">
        <v>801</v>
      </c>
      <c r="C750" s="268">
        <v>6231</v>
      </c>
      <c r="D750" s="268">
        <v>4241</v>
      </c>
      <c r="E750"/>
      <c r="F750"/>
      <c r="G750"/>
      <c r="H750"/>
    </row>
    <row r="751" spans="2:18" x14ac:dyDescent="0.25">
      <c r="B751" s="25" t="s">
        <v>804</v>
      </c>
      <c r="C751" s="268">
        <v>2707</v>
      </c>
      <c r="D751" s="268">
        <v>2707</v>
      </c>
      <c r="E751"/>
      <c r="F751"/>
      <c r="G751"/>
      <c r="H751"/>
    </row>
    <row r="752" spans="2:18" x14ac:dyDescent="0.25">
      <c r="B752" s="25" t="s">
        <v>805</v>
      </c>
      <c r="C752" s="268">
        <v>5108</v>
      </c>
      <c r="D752" s="268">
        <v>4802</v>
      </c>
      <c r="E752"/>
      <c r="F752"/>
      <c r="G752"/>
      <c r="H752"/>
    </row>
    <row r="753" spans="2:18" x14ac:dyDescent="0.25">
      <c r="B753" s="25" t="s">
        <v>73</v>
      </c>
      <c r="C753" s="268">
        <v>78593</v>
      </c>
      <c r="D753" s="268">
        <v>73758</v>
      </c>
      <c r="E753"/>
      <c r="F753"/>
      <c r="G753"/>
      <c r="H753"/>
      <c r="I753"/>
      <c r="J753"/>
      <c r="K753"/>
      <c r="L753"/>
      <c r="M753"/>
      <c r="N753"/>
      <c r="O753"/>
      <c r="P753"/>
      <c r="Q753"/>
      <c r="R753"/>
    </row>
    <row r="754" spans="2:18" x14ac:dyDescent="0.25">
      <c r="B754"/>
      <c r="C754"/>
      <c r="D754"/>
      <c r="E754"/>
      <c r="F754"/>
      <c r="G754"/>
      <c r="H754"/>
      <c r="I754"/>
      <c r="J754"/>
      <c r="K754"/>
      <c r="L754"/>
      <c r="M754"/>
      <c r="N754"/>
      <c r="O754"/>
      <c r="P754"/>
      <c r="Q754"/>
      <c r="R754"/>
    </row>
    <row r="755" spans="2:18" x14ac:dyDescent="0.25">
      <c r="B755"/>
      <c r="C755"/>
      <c r="D755"/>
      <c r="E755"/>
      <c r="F755"/>
      <c r="G755"/>
      <c r="H755"/>
      <c r="I755"/>
      <c r="J755"/>
      <c r="K755"/>
      <c r="L755"/>
      <c r="M755"/>
      <c r="N755"/>
      <c r="O755"/>
      <c r="P755"/>
      <c r="Q755"/>
      <c r="R755"/>
    </row>
    <row r="756" spans="2:18" x14ac:dyDescent="0.25">
      <c r="B756"/>
      <c r="C756"/>
      <c r="D756"/>
      <c r="E756"/>
      <c r="F756"/>
      <c r="G756"/>
      <c r="H756"/>
      <c r="I756"/>
      <c r="J756"/>
      <c r="K756"/>
      <c r="L756"/>
      <c r="M756"/>
      <c r="N756"/>
      <c r="O756"/>
      <c r="P756"/>
      <c r="Q756"/>
      <c r="R756"/>
    </row>
    <row r="757" spans="2:18" x14ac:dyDescent="0.25">
      <c r="B757"/>
      <c r="C757"/>
      <c r="D757"/>
      <c r="E757"/>
      <c r="F757"/>
      <c r="G757"/>
      <c r="H757"/>
      <c r="I757"/>
      <c r="J757"/>
      <c r="K757"/>
      <c r="L757"/>
      <c r="M757"/>
      <c r="N757"/>
      <c r="O757"/>
      <c r="P757"/>
      <c r="Q757"/>
      <c r="R757"/>
    </row>
    <row r="758" spans="2:18" x14ac:dyDescent="0.25">
      <c r="B758"/>
      <c r="C758"/>
      <c r="D758"/>
      <c r="E758"/>
      <c r="F758"/>
      <c r="G758"/>
      <c r="H758"/>
      <c r="I758"/>
      <c r="J758"/>
      <c r="K758"/>
      <c r="L758"/>
      <c r="M758"/>
      <c r="N758"/>
      <c r="O758"/>
      <c r="P758"/>
      <c r="Q758"/>
      <c r="R758"/>
    </row>
    <row r="759" spans="2:18" x14ac:dyDescent="0.25">
      <c r="B759"/>
      <c r="C759"/>
      <c r="D759"/>
      <c r="E759"/>
      <c r="F759"/>
      <c r="G759"/>
      <c r="H759"/>
      <c r="I759"/>
      <c r="J759"/>
      <c r="K759"/>
      <c r="L759"/>
      <c r="M759"/>
      <c r="N759"/>
      <c r="O759"/>
      <c r="P759"/>
      <c r="Q759"/>
      <c r="R759"/>
    </row>
    <row r="760" spans="2:18" x14ac:dyDescent="0.25">
      <c r="B760"/>
      <c r="C760"/>
      <c r="D760"/>
      <c r="E760"/>
      <c r="F760"/>
      <c r="G760"/>
      <c r="H760"/>
      <c r="I760"/>
      <c r="J760"/>
      <c r="K760"/>
      <c r="L760"/>
      <c r="M760"/>
      <c r="N760"/>
      <c r="O760"/>
      <c r="P760"/>
      <c r="Q760"/>
      <c r="R760"/>
    </row>
    <row r="761" spans="2:18" x14ac:dyDescent="0.25">
      <c r="B761"/>
      <c r="C761"/>
      <c r="D761"/>
      <c r="E761"/>
      <c r="F761"/>
      <c r="G761"/>
      <c r="H761"/>
      <c r="I761"/>
      <c r="J761"/>
      <c r="K761"/>
      <c r="L761"/>
      <c r="M761"/>
      <c r="N761"/>
      <c r="O761"/>
      <c r="P761"/>
      <c r="Q761"/>
      <c r="R761"/>
    </row>
    <row r="762" spans="2:18" x14ac:dyDescent="0.25">
      <c r="B762"/>
      <c r="C762"/>
      <c r="D762"/>
      <c r="E762"/>
      <c r="F762"/>
      <c r="G762"/>
      <c r="H762"/>
      <c r="I762"/>
      <c r="J762"/>
      <c r="K762"/>
      <c r="L762"/>
      <c r="M762"/>
      <c r="N762"/>
      <c r="O762"/>
      <c r="P762"/>
      <c r="Q762"/>
      <c r="R762"/>
    </row>
    <row r="763" spans="2:18" x14ac:dyDescent="0.25">
      <c r="B763"/>
      <c r="C763"/>
      <c r="D763"/>
      <c r="E763"/>
      <c r="F763"/>
      <c r="G763"/>
      <c r="H763"/>
      <c r="I763"/>
      <c r="J763"/>
      <c r="K763"/>
      <c r="L763"/>
      <c r="M763"/>
      <c r="N763"/>
      <c r="O763"/>
      <c r="P763"/>
      <c r="Q763"/>
      <c r="R763"/>
    </row>
    <row r="764" spans="2:18" x14ac:dyDescent="0.25">
      <c r="B764"/>
      <c r="C764"/>
      <c r="D764"/>
      <c r="E764"/>
      <c r="F764"/>
      <c r="G764"/>
      <c r="H764"/>
      <c r="I764"/>
      <c r="J764"/>
      <c r="K764"/>
      <c r="L764"/>
      <c r="M764"/>
      <c r="N764"/>
      <c r="O764"/>
      <c r="P764"/>
      <c r="Q764"/>
      <c r="R764"/>
    </row>
    <row r="765" spans="2:18" x14ac:dyDescent="0.25">
      <c r="B765"/>
      <c r="C765"/>
      <c r="D765"/>
      <c r="E765"/>
      <c r="F765"/>
      <c r="G765"/>
      <c r="H765"/>
      <c r="I765"/>
      <c r="J765"/>
      <c r="K765"/>
      <c r="L765"/>
      <c r="M765"/>
      <c r="N765"/>
      <c r="O765"/>
      <c r="P765"/>
      <c r="Q765"/>
      <c r="R765"/>
    </row>
    <row r="766" spans="2:18" x14ac:dyDescent="0.25">
      <c r="B766"/>
      <c r="C766"/>
      <c r="D766"/>
      <c r="E766"/>
      <c r="F766"/>
      <c r="G766"/>
      <c r="H766"/>
    </row>
    <row r="767" spans="2:18" x14ac:dyDescent="0.25">
      <c r="B767" s="28" t="s">
        <v>4</v>
      </c>
      <c r="C767" t="s">
        <v>74</v>
      </c>
      <c r="D767"/>
      <c r="E767"/>
      <c r="F767"/>
      <c r="G767"/>
      <c r="H767"/>
    </row>
    <row r="768" spans="2:18" x14ac:dyDescent="0.25">
      <c r="B768" s="28" t="s">
        <v>285</v>
      </c>
      <c r="C768" t="s">
        <v>74</v>
      </c>
      <c r="D768"/>
      <c r="E768"/>
      <c r="F768"/>
      <c r="G768"/>
      <c r="H768"/>
    </row>
    <row r="769" spans="2:18" x14ac:dyDescent="0.25">
      <c r="D769"/>
      <c r="E769"/>
      <c r="F769"/>
      <c r="G769"/>
      <c r="H769"/>
    </row>
    <row r="770" spans="2:18" ht="30" x14ac:dyDescent="0.25">
      <c r="B770" s="716" t="s">
        <v>236</v>
      </c>
      <c r="C770" s="274" t="s">
        <v>237</v>
      </c>
      <c r="D770" s="274" t="s">
        <v>882</v>
      </c>
      <c r="E770"/>
      <c r="F770" s="279"/>
      <c r="G770" s="279"/>
      <c r="H770" s="279"/>
    </row>
    <row r="771" spans="2:18" x14ac:dyDescent="0.25">
      <c r="B771" s="25" t="s">
        <v>814</v>
      </c>
      <c r="C771" s="268">
        <v>41079</v>
      </c>
      <c r="D771" s="268">
        <v>38027</v>
      </c>
      <c r="E771"/>
      <c r="F771"/>
      <c r="G771"/>
      <c r="H771"/>
    </row>
    <row r="772" spans="2:18" x14ac:dyDescent="0.25">
      <c r="B772" s="25" t="s">
        <v>813</v>
      </c>
      <c r="C772" s="268">
        <v>17395</v>
      </c>
      <c r="D772" s="268">
        <v>16139</v>
      </c>
      <c r="E772"/>
      <c r="F772"/>
      <c r="G772"/>
      <c r="H772"/>
    </row>
    <row r="773" spans="2:18" x14ac:dyDescent="0.25">
      <c r="B773" s="25" t="s">
        <v>812</v>
      </c>
      <c r="C773" s="268">
        <v>20119</v>
      </c>
      <c r="D773" s="268">
        <v>19592</v>
      </c>
      <c r="E773"/>
      <c r="F773"/>
      <c r="G773"/>
      <c r="H773"/>
    </row>
    <row r="774" spans="2:18" x14ac:dyDescent="0.25">
      <c r="B774" s="25" t="s">
        <v>73</v>
      </c>
      <c r="C774" s="268">
        <v>78593</v>
      </c>
      <c r="D774" s="268">
        <v>73758</v>
      </c>
      <c r="E774"/>
      <c r="F774"/>
      <c r="G774"/>
      <c r="H774"/>
    </row>
    <row r="775" spans="2:18" x14ac:dyDescent="0.25">
      <c r="B775"/>
      <c r="C775"/>
      <c r="D775"/>
      <c r="E775"/>
      <c r="F775"/>
      <c r="G775"/>
      <c r="H775"/>
      <c r="I775"/>
      <c r="J775"/>
      <c r="K775"/>
      <c r="L775"/>
      <c r="M775"/>
      <c r="N775"/>
      <c r="O775"/>
      <c r="P775"/>
      <c r="Q775"/>
      <c r="R775"/>
    </row>
    <row r="776" spans="2:18" x14ac:dyDescent="0.25">
      <c r="B776"/>
      <c r="C776"/>
      <c r="D776"/>
      <c r="E776"/>
      <c r="F776"/>
      <c r="G776"/>
      <c r="H776"/>
      <c r="I776"/>
      <c r="J776"/>
      <c r="K776"/>
      <c r="L776"/>
      <c r="M776"/>
      <c r="N776"/>
      <c r="O776"/>
      <c r="P776"/>
      <c r="Q776"/>
      <c r="R776"/>
    </row>
    <row r="777" spans="2:18" x14ac:dyDescent="0.25">
      <c r="B777"/>
      <c r="C777"/>
      <c r="D777"/>
      <c r="E777"/>
      <c r="F777"/>
      <c r="G777"/>
      <c r="H777"/>
      <c r="I777"/>
      <c r="J777"/>
      <c r="K777"/>
      <c r="L777"/>
      <c r="M777"/>
      <c r="N777"/>
      <c r="O777"/>
      <c r="P777"/>
      <c r="Q777"/>
      <c r="R777"/>
    </row>
    <row r="778" spans="2:18" x14ac:dyDescent="0.25">
      <c r="B778"/>
      <c r="C778"/>
      <c r="D778"/>
      <c r="E778"/>
      <c r="F778"/>
      <c r="G778"/>
      <c r="H778"/>
      <c r="I778"/>
      <c r="J778"/>
      <c r="K778"/>
      <c r="L778"/>
      <c r="M778"/>
      <c r="N778"/>
      <c r="O778"/>
      <c r="P778"/>
      <c r="Q778"/>
      <c r="R778"/>
    </row>
    <row r="779" spans="2:18" x14ac:dyDescent="0.25">
      <c r="B779"/>
      <c r="C779"/>
      <c r="D779"/>
      <c r="E779"/>
      <c r="F779"/>
      <c r="G779"/>
      <c r="H779"/>
      <c r="I779"/>
      <c r="J779"/>
      <c r="K779"/>
      <c r="L779"/>
      <c r="M779"/>
      <c r="N779"/>
      <c r="O779"/>
      <c r="P779"/>
      <c r="Q779"/>
      <c r="R779"/>
    </row>
    <row r="780" spans="2:18" x14ac:dyDescent="0.25">
      <c r="B780"/>
      <c r="C780"/>
      <c r="D780"/>
      <c r="E780"/>
      <c r="F780"/>
      <c r="G780"/>
      <c r="H780"/>
      <c r="I780"/>
      <c r="J780"/>
      <c r="K780"/>
      <c r="L780"/>
      <c r="M780"/>
      <c r="N780"/>
      <c r="O780"/>
      <c r="P780"/>
      <c r="Q780"/>
      <c r="R780"/>
    </row>
    <row r="781" spans="2:18" x14ac:dyDescent="0.25">
      <c r="B781"/>
      <c r="C781"/>
      <c r="D781"/>
      <c r="E781"/>
      <c r="F781"/>
      <c r="G781"/>
      <c r="H781"/>
      <c r="I781"/>
      <c r="J781"/>
      <c r="K781"/>
      <c r="L781"/>
      <c r="M781"/>
      <c r="N781"/>
      <c r="O781"/>
      <c r="P781"/>
      <c r="Q781"/>
      <c r="R781"/>
    </row>
    <row r="782" spans="2:18" x14ac:dyDescent="0.25">
      <c r="B782"/>
      <c r="C782"/>
      <c r="D782"/>
      <c r="E782"/>
      <c r="F782"/>
      <c r="G782"/>
      <c r="H782"/>
      <c r="I782"/>
      <c r="J782"/>
      <c r="K782"/>
      <c r="L782"/>
      <c r="M782"/>
      <c r="N782"/>
      <c r="O782"/>
      <c r="P782"/>
      <c r="Q782"/>
      <c r="R782"/>
    </row>
    <row r="783" spans="2:18" x14ac:dyDescent="0.25">
      <c r="B783"/>
      <c r="C783"/>
      <c r="D783"/>
      <c r="E783"/>
      <c r="F783"/>
      <c r="G783"/>
      <c r="H783"/>
      <c r="I783"/>
      <c r="J783"/>
      <c r="K783"/>
      <c r="L783"/>
      <c r="M783"/>
      <c r="N783"/>
      <c r="O783"/>
      <c r="P783"/>
      <c r="Q783"/>
      <c r="R783"/>
    </row>
    <row r="784" spans="2:18" x14ac:dyDescent="0.25">
      <c r="B784"/>
      <c r="C784"/>
      <c r="D784"/>
      <c r="E784"/>
      <c r="F784"/>
      <c r="G784"/>
      <c r="H784"/>
      <c r="I784"/>
      <c r="J784"/>
      <c r="K784"/>
      <c r="L784"/>
      <c r="M784"/>
      <c r="N784"/>
      <c r="O784"/>
      <c r="P784"/>
      <c r="Q784"/>
      <c r="R784"/>
    </row>
    <row r="785" spans="2:18" x14ac:dyDescent="0.25">
      <c r="B785"/>
      <c r="C785"/>
      <c r="D785"/>
      <c r="E785"/>
      <c r="F785"/>
      <c r="G785"/>
      <c r="H785"/>
      <c r="I785"/>
      <c r="J785"/>
      <c r="K785"/>
      <c r="L785"/>
      <c r="M785"/>
      <c r="N785"/>
      <c r="O785"/>
      <c r="P785"/>
      <c r="Q785"/>
      <c r="R785"/>
    </row>
    <row r="786" spans="2:18" x14ac:dyDescent="0.25">
      <c r="B786"/>
      <c r="C786"/>
      <c r="D786"/>
      <c r="E786"/>
      <c r="F786"/>
      <c r="G786"/>
      <c r="H786"/>
      <c r="I786"/>
      <c r="J786"/>
      <c r="K786"/>
      <c r="L786"/>
      <c r="M786"/>
      <c r="N786"/>
      <c r="O786"/>
      <c r="P786"/>
      <c r="Q786"/>
      <c r="R786"/>
    </row>
    <row r="787" spans="2:18" x14ac:dyDescent="0.25">
      <c r="B787"/>
      <c r="C787"/>
      <c r="D787"/>
      <c r="E787"/>
      <c r="F787"/>
      <c r="G787"/>
      <c r="H787"/>
      <c r="I787"/>
      <c r="J787"/>
      <c r="K787"/>
      <c r="L787"/>
      <c r="M787"/>
      <c r="N787"/>
      <c r="O787"/>
      <c r="P787"/>
      <c r="Q787"/>
      <c r="R787"/>
    </row>
    <row r="788" spans="2:18" x14ac:dyDescent="0.25">
      <c r="B788"/>
      <c r="C788"/>
      <c r="D788"/>
      <c r="E788"/>
      <c r="F788"/>
      <c r="G788"/>
      <c r="H788"/>
      <c r="I788"/>
      <c r="J788"/>
      <c r="K788"/>
      <c r="L788"/>
      <c r="M788"/>
      <c r="N788"/>
      <c r="O788"/>
      <c r="P788"/>
      <c r="Q788"/>
      <c r="R788"/>
    </row>
    <row r="789" spans="2:18" x14ac:dyDescent="0.25">
      <c r="B789"/>
      <c r="C789"/>
      <c r="D789"/>
      <c r="E789"/>
      <c r="F789"/>
      <c r="G789"/>
      <c r="H789"/>
      <c r="I789"/>
      <c r="J789"/>
      <c r="K789"/>
      <c r="L789"/>
      <c r="M789"/>
      <c r="N789"/>
      <c r="O789"/>
      <c r="P789"/>
      <c r="Q789"/>
      <c r="R789"/>
    </row>
    <row r="790" spans="2:18" x14ac:dyDescent="0.25">
      <c r="B790"/>
      <c r="C790"/>
      <c r="D790"/>
      <c r="E790"/>
      <c r="F790"/>
      <c r="G790"/>
      <c r="H790"/>
      <c r="I790"/>
      <c r="J790"/>
      <c r="K790"/>
      <c r="L790"/>
      <c r="M790"/>
      <c r="N790"/>
      <c r="O790"/>
      <c r="P790"/>
      <c r="Q790"/>
      <c r="R790"/>
    </row>
    <row r="791" spans="2:18" x14ac:dyDescent="0.25">
      <c r="B791"/>
      <c r="C791"/>
      <c r="D791"/>
      <c r="E791"/>
      <c r="F791"/>
      <c r="G791"/>
      <c r="H791"/>
      <c r="I791"/>
      <c r="J791"/>
      <c r="K791"/>
      <c r="L791"/>
      <c r="M791"/>
      <c r="N791"/>
      <c r="O791"/>
      <c r="P791"/>
      <c r="Q791"/>
      <c r="R791"/>
    </row>
    <row r="792" spans="2:18" x14ac:dyDescent="0.25">
      <c r="B792"/>
      <c r="C792"/>
      <c r="D792"/>
      <c r="E792"/>
      <c r="F792"/>
      <c r="G792"/>
      <c r="H792"/>
      <c r="I792"/>
      <c r="J792"/>
      <c r="K792"/>
      <c r="L792"/>
      <c r="M792"/>
      <c r="N792"/>
      <c r="O792"/>
      <c r="P792"/>
      <c r="Q792"/>
      <c r="R792"/>
    </row>
    <row r="793" spans="2:18" x14ac:dyDescent="0.25">
      <c r="B793"/>
      <c r="C793"/>
      <c r="D793"/>
      <c r="E793"/>
      <c r="F793"/>
      <c r="G793"/>
      <c r="H793"/>
      <c r="I793"/>
      <c r="J793"/>
      <c r="K793"/>
      <c r="L793"/>
      <c r="M793"/>
      <c r="N793"/>
      <c r="O793"/>
      <c r="P793"/>
      <c r="Q793"/>
      <c r="R793"/>
    </row>
    <row r="794" spans="2:18" x14ac:dyDescent="0.25">
      <c r="B794"/>
      <c r="C794"/>
      <c r="D794"/>
      <c r="E794"/>
      <c r="F794"/>
      <c r="G794"/>
      <c r="H794"/>
      <c r="I794"/>
      <c r="J794"/>
      <c r="K794"/>
      <c r="L794"/>
      <c r="M794"/>
      <c r="N794"/>
      <c r="O794"/>
      <c r="P794"/>
      <c r="Q794"/>
      <c r="R794"/>
    </row>
    <row r="795" spans="2:18" x14ac:dyDescent="0.25">
      <c r="B795"/>
      <c r="C795"/>
      <c r="D795"/>
      <c r="E795"/>
      <c r="F795"/>
      <c r="G795"/>
      <c r="H795"/>
      <c r="I795"/>
      <c r="J795"/>
      <c r="K795"/>
      <c r="L795"/>
      <c r="M795"/>
      <c r="N795"/>
      <c r="O795"/>
      <c r="P795"/>
      <c r="Q795"/>
      <c r="R795"/>
    </row>
    <row r="796" spans="2:18" x14ac:dyDescent="0.25">
      <c r="B796"/>
      <c r="C796"/>
      <c r="D796"/>
      <c r="E796"/>
      <c r="F796"/>
      <c r="G796"/>
      <c r="H796"/>
      <c r="I796"/>
      <c r="J796"/>
      <c r="K796"/>
      <c r="L796"/>
      <c r="M796"/>
      <c r="N796"/>
      <c r="O796"/>
      <c r="P796"/>
      <c r="Q796"/>
      <c r="R796"/>
    </row>
    <row r="797" spans="2:18" x14ac:dyDescent="0.25">
      <c r="B797"/>
      <c r="C797"/>
      <c r="D797"/>
      <c r="E797"/>
      <c r="F797"/>
      <c r="G797"/>
      <c r="H797"/>
      <c r="I797"/>
      <c r="J797"/>
      <c r="K797"/>
      <c r="L797"/>
      <c r="M797"/>
      <c r="N797"/>
      <c r="O797"/>
      <c r="P797"/>
      <c r="Q797"/>
      <c r="R797"/>
    </row>
    <row r="798" spans="2:18" x14ac:dyDescent="0.25">
      <c r="B798"/>
      <c r="C798"/>
      <c r="D798"/>
      <c r="E798"/>
      <c r="F798"/>
      <c r="G798"/>
      <c r="H798"/>
      <c r="I798"/>
      <c r="J798"/>
      <c r="K798"/>
      <c r="L798"/>
      <c r="M798"/>
      <c r="N798"/>
      <c r="O798"/>
      <c r="P798"/>
      <c r="Q798"/>
      <c r="R798"/>
    </row>
    <row r="799" spans="2:18" x14ac:dyDescent="0.25">
      <c r="B799"/>
      <c r="C799"/>
      <c r="D799"/>
      <c r="E799"/>
      <c r="F799"/>
      <c r="G799"/>
      <c r="H799"/>
      <c r="I799"/>
      <c r="J799"/>
      <c r="K799"/>
      <c r="L799"/>
      <c r="M799"/>
      <c r="N799"/>
      <c r="O799"/>
      <c r="P799"/>
      <c r="Q799"/>
      <c r="R799"/>
    </row>
    <row r="800" spans="2:18" x14ac:dyDescent="0.25">
      <c r="B800"/>
      <c r="C800"/>
      <c r="D800"/>
      <c r="E800"/>
      <c r="F800"/>
      <c r="G800"/>
      <c r="H800"/>
      <c r="I800"/>
      <c r="J800"/>
      <c r="K800"/>
      <c r="L800"/>
      <c r="M800"/>
      <c r="N800"/>
      <c r="O800"/>
      <c r="P800"/>
      <c r="Q800"/>
      <c r="R800"/>
    </row>
    <row r="801" spans="2:6" x14ac:dyDescent="0.25">
      <c r="B801"/>
      <c r="C801"/>
      <c r="D801"/>
      <c r="E801"/>
      <c r="F801"/>
    </row>
    <row r="802" spans="2:6" x14ac:dyDescent="0.25">
      <c r="B802"/>
      <c r="C802"/>
      <c r="D802"/>
      <c r="E802"/>
      <c r="F802"/>
    </row>
    <row r="803" spans="2:6" x14ac:dyDescent="0.25">
      <c r="B803"/>
      <c r="C803"/>
      <c r="D803"/>
      <c r="E803"/>
      <c r="F803"/>
    </row>
    <row r="804" spans="2:6" x14ac:dyDescent="0.25">
      <c r="B804"/>
      <c r="C804"/>
      <c r="D804"/>
      <c r="E804"/>
      <c r="F804"/>
    </row>
    <row r="805" spans="2:6" x14ac:dyDescent="0.25">
      <c r="B805"/>
      <c r="C805"/>
      <c r="D805"/>
      <c r="E805"/>
      <c r="F805"/>
    </row>
    <row r="806" spans="2:6" x14ac:dyDescent="0.25">
      <c r="B806"/>
      <c r="C806"/>
      <c r="D806"/>
      <c r="E806"/>
      <c r="F806"/>
    </row>
    <row r="807" spans="2:6" x14ac:dyDescent="0.25">
      <c r="B807"/>
      <c r="C807"/>
      <c r="D807"/>
      <c r="E807"/>
      <c r="F807"/>
    </row>
    <row r="808" spans="2:6" x14ac:dyDescent="0.25">
      <c r="B808"/>
      <c r="C808"/>
      <c r="D808"/>
      <c r="E808"/>
      <c r="F808"/>
    </row>
    <row r="809" spans="2:6" x14ac:dyDescent="0.25">
      <c r="B809"/>
      <c r="C809"/>
      <c r="D809"/>
      <c r="E809"/>
      <c r="F809"/>
    </row>
    <row r="810" spans="2:6" x14ac:dyDescent="0.25">
      <c r="B810"/>
      <c r="C810"/>
      <c r="D810"/>
      <c r="E810"/>
      <c r="F810"/>
    </row>
    <row r="811" spans="2:6" x14ac:dyDescent="0.25">
      <c r="B811"/>
      <c r="C811"/>
      <c r="D811"/>
      <c r="E811"/>
      <c r="F811"/>
    </row>
    <row r="812" spans="2:6" x14ac:dyDescent="0.25">
      <c r="B812"/>
      <c r="C812"/>
      <c r="D812"/>
      <c r="E812"/>
      <c r="F812"/>
    </row>
    <row r="813" spans="2:6" x14ac:dyDescent="0.25">
      <c r="B813"/>
      <c r="C813"/>
      <c r="D813"/>
      <c r="E813"/>
      <c r="F813"/>
    </row>
    <row r="814" spans="2:6" x14ac:dyDescent="0.25">
      <c r="B814"/>
      <c r="C814"/>
      <c r="D814"/>
      <c r="E814"/>
      <c r="F814"/>
    </row>
    <row r="815" spans="2:6" x14ac:dyDescent="0.25">
      <c r="B815"/>
      <c r="C815"/>
      <c r="D815"/>
      <c r="E815"/>
      <c r="F815"/>
    </row>
    <row r="816" spans="2:6" x14ac:dyDescent="0.25">
      <c r="B816"/>
      <c r="C816"/>
      <c r="D816"/>
      <c r="E816"/>
      <c r="F816"/>
    </row>
    <row r="817" spans="2:6" x14ac:dyDescent="0.25">
      <c r="B817"/>
      <c r="C817"/>
      <c r="D817"/>
      <c r="E817"/>
      <c r="F817"/>
    </row>
    <row r="818" spans="2:6" x14ac:dyDescent="0.25">
      <c r="B818"/>
      <c r="C818"/>
      <c r="D818"/>
      <c r="E818"/>
      <c r="F818"/>
    </row>
    <row r="819" spans="2:6" x14ac:dyDescent="0.25">
      <c r="B819"/>
      <c r="C819"/>
      <c r="D819"/>
      <c r="E819"/>
      <c r="F819"/>
    </row>
    <row r="820" spans="2:6" x14ac:dyDescent="0.25">
      <c r="B820"/>
      <c r="C820"/>
      <c r="D820"/>
      <c r="E820"/>
      <c r="F820"/>
    </row>
    <row r="821" spans="2:6" x14ac:dyDescent="0.25">
      <c r="B821"/>
      <c r="C821"/>
      <c r="D821"/>
      <c r="E821"/>
      <c r="F821"/>
    </row>
    <row r="822" spans="2:6" x14ac:dyDescent="0.25">
      <c r="B822"/>
      <c r="C822"/>
      <c r="D822"/>
      <c r="E822"/>
      <c r="F822"/>
    </row>
    <row r="823" spans="2:6" x14ac:dyDescent="0.25">
      <c r="B823"/>
      <c r="C823"/>
      <c r="D823"/>
      <c r="E823"/>
      <c r="F823"/>
    </row>
    <row r="824" spans="2:6" x14ac:dyDescent="0.25">
      <c r="B824"/>
      <c r="C824"/>
      <c r="D824"/>
      <c r="E824"/>
      <c r="F824"/>
    </row>
    <row r="825" spans="2:6" x14ac:dyDescent="0.25">
      <c r="B825"/>
      <c r="C825"/>
      <c r="D825"/>
      <c r="E825"/>
      <c r="F825"/>
    </row>
    <row r="826" spans="2:6" x14ac:dyDescent="0.25">
      <c r="B826"/>
      <c r="C826"/>
      <c r="D826"/>
      <c r="E826"/>
      <c r="F826"/>
    </row>
    <row r="827" spans="2:6" x14ac:dyDescent="0.25">
      <c r="B827"/>
      <c r="C827"/>
      <c r="D827"/>
      <c r="E827"/>
      <c r="F827"/>
    </row>
    <row r="828" spans="2:6" x14ac:dyDescent="0.25">
      <c r="B828"/>
      <c r="C828"/>
      <c r="D828"/>
      <c r="E828"/>
      <c r="F828"/>
    </row>
    <row r="829" spans="2:6" x14ac:dyDescent="0.25">
      <c r="B829"/>
      <c r="C829"/>
      <c r="D829"/>
      <c r="E829"/>
      <c r="F829"/>
    </row>
    <row r="830" spans="2:6" x14ac:dyDescent="0.25">
      <c r="B830"/>
      <c r="C830"/>
      <c r="D830"/>
      <c r="E830"/>
      <c r="F830"/>
    </row>
    <row r="831" spans="2:6" x14ac:dyDescent="0.25">
      <c r="B831"/>
      <c r="C831"/>
      <c r="D831"/>
      <c r="E831"/>
      <c r="F831"/>
    </row>
    <row r="832" spans="2:6" x14ac:dyDescent="0.25">
      <c r="B832"/>
      <c r="C832"/>
      <c r="D832"/>
      <c r="E832"/>
      <c r="F832"/>
    </row>
    <row r="833" spans="2:6" x14ac:dyDescent="0.25">
      <c r="B833"/>
      <c r="C833"/>
      <c r="D833"/>
      <c r="E833"/>
      <c r="F833"/>
    </row>
    <row r="834" spans="2:6" x14ac:dyDescent="0.25">
      <c r="B834"/>
      <c r="C834"/>
      <c r="D834"/>
      <c r="E834"/>
      <c r="F834"/>
    </row>
    <row r="835" spans="2:6" x14ac:dyDescent="0.25">
      <c r="B835"/>
      <c r="C835"/>
      <c r="D835"/>
      <c r="E835"/>
      <c r="F835"/>
    </row>
    <row r="836" spans="2:6" x14ac:dyDescent="0.25">
      <c r="B836"/>
      <c r="C836"/>
      <c r="D836"/>
      <c r="E836"/>
      <c r="F836"/>
    </row>
    <row r="837" spans="2:6" x14ac:dyDescent="0.25">
      <c r="B837"/>
      <c r="C837"/>
      <c r="D837"/>
      <c r="E837"/>
      <c r="F837"/>
    </row>
    <row r="838" spans="2:6" x14ac:dyDescent="0.25">
      <c r="B838"/>
      <c r="C838"/>
      <c r="D838"/>
      <c r="E838"/>
      <c r="F838"/>
    </row>
    <row r="839" spans="2:6" x14ac:dyDescent="0.25">
      <c r="B839"/>
      <c r="C839"/>
      <c r="D839"/>
      <c r="E839"/>
      <c r="F839"/>
    </row>
    <row r="840" spans="2:6" x14ac:dyDescent="0.25">
      <c r="B840"/>
      <c r="C840"/>
      <c r="D840"/>
      <c r="E840"/>
      <c r="F840"/>
    </row>
    <row r="841" spans="2:6" x14ac:dyDescent="0.25">
      <c r="B841"/>
      <c r="C841"/>
      <c r="D841"/>
      <c r="E841"/>
      <c r="F841"/>
    </row>
    <row r="842" spans="2:6" x14ac:dyDescent="0.25">
      <c r="B842"/>
      <c r="C842"/>
      <c r="D842"/>
      <c r="E842"/>
      <c r="F842"/>
    </row>
    <row r="843" spans="2:6" x14ac:dyDescent="0.25">
      <c r="B843"/>
      <c r="C843"/>
      <c r="D843"/>
      <c r="E843"/>
      <c r="F843"/>
    </row>
    <row r="844" spans="2:6" x14ac:dyDescent="0.25">
      <c r="B844"/>
      <c r="C844"/>
      <c r="D844"/>
      <c r="E844"/>
      <c r="F844"/>
    </row>
    <row r="845" spans="2:6" x14ac:dyDescent="0.25">
      <c r="B845"/>
      <c r="C845"/>
      <c r="D845"/>
      <c r="E845"/>
      <c r="F845"/>
    </row>
    <row r="846" spans="2:6" x14ac:dyDescent="0.25">
      <c r="B846"/>
      <c r="C846"/>
      <c r="D846"/>
      <c r="E846"/>
      <c r="F846"/>
    </row>
    <row r="847" spans="2:6" x14ac:dyDescent="0.25">
      <c r="B847"/>
      <c r="C847"/>
      <c r="D847"/>
      <c r="E847"/>
      <c r="F847"/>
    </row>
    <row r="848" spans="2:6" x14ac:dyDescent="0.25">
      <c r="B848"/>
      <c r="C848"/>
      <c r="D848"/>
      <c r="E848"/>
      <c r="F848"/>
    </row>
    <row r="849" spans="2:6" x14ac:dyDescent="0.25">
      <c r="B849"/>
      <c r="C849"/>
      <c r="D849"/>
      <c r="E849"/>
      <c r="F849"/>
    </row>
    <row r="850" spans="2:6" x14ac:dyDescent="0.25">
      <c r="B850"/>
      <c r="C850"/>
      <c r="D850"/>
      <c r="E850"/>
      <c r="F850"/>
    </row>
    <row r="851" spans="2:6" x14ac:dyDescent="0.25">
      <c r="B851"/>
      <c r="C851"/>
      <c r="D851"/>
      <c r="E851"/>
      <c r="F851"/>
    </row>
    <row r="852" spans="2:6" x14ac:dyDescent="0.25">
      <c r="B852"/>
      <c r="C852"/>
      <c r="D852"/>
      <c r="E852"/>
      <c r="F852"/>
    </row>
    <row r="853" spans="2:6" x14ac:dyDescent="0.25">
      <c r="B853"/>
      <c r="C853"/>
      <c r="D853"/>
      <c r="E853"/>
      <c r="F853"/>
    </row>
    <row r="854" spans="2:6" x14ac:dyDescent="0.25">
      <c r="B854"/>
      <c r="C854"/>
      <c r="D854"/>
      <c r="E854"/>
      <c r="F854"/>
    </row>
    <row r="855" spans="2:6" x14ac:dyDescent="0.25">
      <c r="B855"/>
      <c r="C855"/>
      <c r="D855"/>
      <c r="E855"/>
      <c r="F855"/>
    </row>
    <row r="856" spans="2:6" x14ac:dyDescent="0.25">
      <c r="B856"/>
      <c r="C856"/>
      <c r="D856"/>
      <c r="E856"/>
      <c r="F856"/>
    </row>
    <row r="857" spans="2:6" x14ac:dyDescent="0.25">
      <c r="B857"/>
      <c r="C857"/>
      <c r="D857"/>
      <c r="E857"/>
      <c r="F857"/>
    </row>
    <row r="858" spans="2:6" x14ac:dyDescent="0.25">
      <c r="B858"/>
      <c r="C858"/>
      <c r="D858"/>
      <c r="E858"/>
      <c r="F858"/>
    </row>
    <row r="859" spans="2:6" x14ac:dyDescent="0.25">
      <c r="B859"/>
      <c r="C859"/>
      <c r="D859"/>
      <c r="E859"/>
      <c r="F859"/>
    </row>
    <row r="860" spans="2:6" x14ac:dyDescent="0.25">
      <c r="B860"/>
      <c r="C860"/>
      <c r="D860"/>
      <c r="E860"/>
      <c r="F860"/>
    </row>
    <row r="861" spans="2:6" x14ac:dyDescent="0.25">
      <c r="B861"/>
      <c r="C861"/>
      <c r="D861"/>
      <c r="E861"/>
      <c r="F861"/>
    </row>
    <row r="862" spans="2:6" x14ac:dyDescent="0.25">
      <c r="B862"/>
      <c r="C862"/>
      <c r="D862"/>
      <c r="E862"/>
      <c r="F862"/>
    </row>
    <row r="863" spans="2:6" x14ac:dyDescent="0.25">
      <c r="B863"/>
      <c r="C863"/>
      <c r="D863"/>
      <c r="E863"/>
      <c r="F863"/>
    </row>
    <row r="864" spans="2:6" x14ac:dyDescent="0.25">
      <c r="B864"/>
      <c r="C864"/>
      <c r="D864"/>
      <c r="E864"/>
      <c r="F864"/>
    </row>
    <row r="865" spans="2:6" x14ac:dyDescent="0.25">
      <c r="B865"/>
      <c r="C865"/>
      <c r="D865"/>
      <c r="E865"/>
      <c r="F865"/>
    </row>
    <row r="866" spans="2:6" x14ac:dyDescent="0.25">
      <c r="B866"/>
      <c r="C866"/>
      <c r="D866"/>
      <c r="E866"/>
      <c r="F866"/>
    </row>
    <row r="867" spans="2:6" x14ac:dyDescent="0.25">
      <c r="B867"/>
      <c r="C867"/>
      <c r="D867"/>
      <c r="E867"/>
      <c r="F867"/>
    </row>
    <row r="868" spans="2:6" x14ac:dyDescent="0.25">
      <c r="B868"/>
      <c r="C868"/>
      <c r="D868"/>
      <c r="E868"/>
      <c r="F868"/>
    </row>
    <row r="869" spans="2:6" x14ac:dyDescent="0.25">
      <c r="B869"/>
      <c r="C869"/>
      <c r="D869"/>
      <c r="E869"/>
      <c r="F869"/>
    </row>
    <row r="870" spans="2:6" x14ac:dyDescent="0.25">
      <c r="B870"/>
      <c r="C870"/>
      <c r="D870"/>
      <c r="E870"/>
      <c r="F870"/>
    </row>
    <row r="871" spans="2:6" x14ac:dyDescent="0.25">
      <c r="B871"/>
      <c r="C871"/>
      <c r="D871"/>
      <c r="E871"/>
      <c r="F871"/>
    </row>
    <row r="872" spans="2:6" x14ac:dyDescent="0.25">
      <c r="B872"/>
      <c r="C872"/>
      <c r="D872"/>
      <c r="E872"/>
      <c r="F872"/>
    </row>
    <row r="873" spans="2:6" x14ac:dyDescent="0.25">
      <c r="B873"/>
      <c r="C873"/>
      <c r="D873"/>
      <c r="E873"/>
      <c r="F873"/>
    </row>
    <row r="874" spans="2:6" x14ac:dyDescent="0.25">
      <c r="B874"/>
      <c r="C874"/>
      <c r="D874"/>
      <c r="E874"/>
      <c r="F874"/>
    </row>
    <row r="875" spans="2:6" x14ac:dyDescent="0.25">
      <c r="B875"/>
      <c r="C875"/>
      <c r="D875"/>
      <c r="E875"/>
      <c r="F875"/>
    </row>
    <row r="876" spans="2:6" x14ac:dyDescent="0.25">
      <c r="B876"/>
      <c r="C876"/>
      <c r="D876"/>
      <c r="E876"/>
      <c r="F876"/>
    </row>
    <row r="877" spans="2:6" x14ac:dyDescent="0.25">
      <c r="B877"/>
      <c r="C877"/>
      <c r="D877"/>
      <c r="E877"/>
      <c r="F877"/>
    </row>
    <row r="878" spans="2:6" x14ac:dyDescent="0.25">
      <c r="B878"/>
      <c r="C878"/>
      <c r="D878"/>
      <c r="E878"/>
      <c r="F878"/>
    </row>
    <row r="879" spans="2:6" x14ac:dyDescent="0.25">
      <c r="B879"/>
      <c r="C879"/>
      <c r="D879"/>
      <c r="E879"/>
      <c r="F879"/>
    </row>
    <row r="880" spans="2:6" x14ac:dyDescent="0.25">
      <c r="B880"/>
      <c r="C880"/>
      <c r="D880"/>
      <c r="E880"/>
      <c r="F880"/>
    </row>
    <row r="881" spans="2:6" x14ac:dyDescent="0.25">
      <c r="B881"/>
      <c r="C881"/>
      <c r="D881"/>
      <c r="E881"/>
      <c r="F881"/>
    </row>
    <row r="882" spans="2:6" x14ac:dyDescent="0.25">
      <c r="B882"/>
      <c r="C882"/>
      <c r="D882"/>
      <c r="E882"/>
      <c r="F882"/>
    </row>
    <row r="883" spans="2:6" x14ac:dyDescent="0.25">
      <c r="B883"/>
      <c r="C883"/>
      <c r="D883"/>
      <c r="E883"/>
      <c r="F883"/>
    </row>
    <row r="884" spans="2:6" x14ac:dyDescent="0.25">
      <c r="B884"/>
      <c r="C884"/>
      <c r="D884"/>
      <c r="E884"/>
      <c r="F884"/>
    </row>
    <row r="885" spans="2:6" x14ac:dyDescent="0.25">
      <c r="B885"/>
      <c r="C885"/>
      <c r="D885"/>
      <c r="E885"/>
      <c r="F885"/>
    </row>
    <row r="886" spans="2:6" x14ac:dyDescent="0.25">
      <c r="B886"/>
      <c r="C886"/>
      <c r="D886"/>
      <c r="E886"/>
      <c r="F886"/>
    </row>
    <row r="887" spans="2:6" x14ac:dyDescent="0.25">
      <c r="B887"/>
      <c r="C887"/>
      <c r="D887"/>
      <c r="E887"/>
      <c r="F887"/>
    </row>
    <row r="888" spans="2:6" x14ac:dyDescent="0.25">
      <c r="B888"/>
      <c r="C888"/>
      <c r="D888"/>
      <c r="E888"/>
      <c r="F888"/>
    </row>
    <row r="889" spans="2:6" x14ac:dyDescent="0.25">
      <c r="B889"/>
      <c r="C889"/>
      <c r="D889"/>
      <c r="E889"/>
      <c r="F889"/>
    </row>
    <row r="890" spans="2:6" x14ac:dyDescent="0.25">
      <c r="B890"/>
      <c r="C890"/>
      <c r="D890"/>
      <c r="E890"/>
      <c r="F890"/>
    </row>
    <row r="891" spans="2:6" x14ac:dyDescent="0.25">
      <c r="B891"/>
      <c r="C891"/>
      <c r="D891"/>
      <c r="E891"/>
      <c r="F891"/>
    </row>
    <row r="892" spans="2:6" x14ac:dyDescent="0.25">
      <c r="B892"/>
      <c r="C892"/>
      <c r="D892"/>
      <c r="E892"/>
      <c r="F892"/>
    </row>
    <row r="893" spans="2:6" x14ac:dyDescent="0.25">
      <c r="B893"/>
      <c r="C893"/>
      <c r="D893"/>
      <c r="E893"/>
      <c r="F893"/>
    </row>
    <row r="894" spans="2:6" x14ac:dyDescent="0.25">
      <c r="B894"/>
      <c r="C894"/>
      <c r="D894"/>
      <c r="E894"/>
      <c r="F894"/>
    </row>
    <row r="895" spans="2:6" x14ac:dyDescent="0.25">
      <c r="B895"/>
      <c r="C895"/>
      <c r="D895"/>
      <c r="E895"/>
      <c r="F895"/>
    </row>
    <row r="896" spans="2:6" x14ac:dyDescent="0.25">
      <c r="B896"/>
      <c r="C896"/>
      <c r="D896"/>
      <c r="E896"/>
      <c r="F896"/>
    </row>
    <row r="897" spans="2:6" x14ac:dyDescent="0.25">
      <c r="B897"/>
      <c r="C897"/>
      <c r="D897"/>
      <c r="E897"/>
      <c r="F897"/>
    </row>
    <row r="898" spans="2:6" x14ac:dyDescent="0.25">
      <c r="B898"/>
      <c r="C898"/>
      <c r="D898"/>
      <c r="E898"/>
      <c r="F898"/>
    </row>
    <row r="899" spans="2:6" x14ac:dyDescent="0.25">
      <c r="B899"/>
      <c r="C899"/>
      <c r="D899"/>
      <c r="E899"/>
      <c r="F899"/>
    </row>
    <row r="900" spans="2:6" x14ac:dyDescent="0.25">
      <c r="B900"/>
      <c r="C900"/>
      <c r="D900"/>
      <c r="E900"/>
      <c r="F900"/>
    </row>
    <row r="901" spans="2:6" x14ac:dyDescent="0.25">
      <c r="B901"/>
      <c r="C901"/>
      <c r="D901"/>
      <c r="E901"/>
      <c r="F901"/>
    </row>
    <row r="902" spans="2:6" x14ac:dyDescent="0.25">
      <c r="B902"/>
      <c r="C902"/>
      <c r="D902"/>
      <c r="E902"/>
      <c r="F902"/>
    </row>
    <row r="903" spans="2:6" x14ac:dyDescent="0.25">
      <c r="B903"/>
      <c r="C903"/>
      <c r="D903"/>
      <c r="E903"/>
      <c r="F903"/>
    </row>
    <row r="904" spans="2:6" x14ac:dyDescent="0.25">
      <c r="B904"/>
      <c r="C904"/>
      <c r="D904"/>
      <c r="E904"/>
      <c r="F904"/>
    </row>
    <row r="905" spans="2:6" x14ac:dyDescent="0.25">
      <c r="B905"/>
      <c r="C905"/>
      <c r="D905"/>
      <c r="E905"/>
      <c r="F905"/>
    </row>
    <row r="906" spans="2:6" x14ac:dyDescent="0.25">
      <c r="B906"/>
      <c r="C906"/>
      <c r="D906"/>
      <c r="E906"/>
      <c r="F906"/>
    </row>
    <row r="907" spans="2:6" x14ac:dyDescent="0.25">
      <c r="B907"/>
      <c r="C907"/>
      <c r="D907"/>
      <c r="E907"/>
      <c r="F907"/>
    </row>
    <row r="908" spans="2:6" x14ac:dyDescent="0.25">
      <c r="B908"/>
      <c r="C908"/>
      <c r="D908"/>
      <c r="E908"/>
      <c r="F908"/>
    </row>
    <row r="909" spans="2:6" x14ac:dyDescent="0.25">
      <c r="B909"/>
      <c r="C909"/>
      <c r="D909"/>
      <c r="E909"/>
      <c r="F909"/>
    </row>
    <row r="910" spans="2:6" x14ac:dyDescent="0.25">
      <c r="B910"/>
      <c r="C910"/>
      <c r="D910"/>
      <c r="E910"/>
      <c r="F910"/>
    </row>
  </sheetData>
  <sheetProtection formatCells="0" formatColumns="0" formatRows="0" sort="0" autoFilter="0" pivotTables="0"/>
  <mergeCells count="2">
    <mergeCell ref="B2:N2"/>
    <mergeCell ref="B5:N5"/>
  </mergeCells>
  <pageMargins left="0.7" right="0.7" top="0.75" bottom="0.75" header="0.3" footer="0.3"/>
  <pageSetup orientation="portrait" r:id="rId32"/>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07"/>
  <sheetViews>
    <sheetView showGridLines="0" zoomScale="75" zoomScaleNormal="75" workbookViewId="0">
      <selection activeCell="B2" sqref="B2:M2"/>
    </sheetView>
  </sheetViews>
  <sheetFormatPr defaultColWidth="9.7109375" defaultRowHeight="15.75" x14ac:dyDescent="0.25"/>
  <cols>
    <col min="1" max="1" width="9.7109375" style="48"/>
    <col min="2" max="2" width="47.7109375" style="49" customWidth="1"/>
    <col min="3" max="3" width="17.7109375" style="50" customWidth="1"/>
    <col min="4" max="4" width="11.7109375" style="48" customWidth="1"/>
    <col min="5" max="5" width="12.5703125" style="48" customWidth="1"/>
    <col min="6" max="6" width="12.140625" style="48" customWidth="1"/>
    <col min="7" max="7" width="10.42578125" style="48" bestFit="1" customWidth="1"/>
    <col min="8" max="13" width="9.85546875" style="48" customWidth="1"/>
    <col min="14" max="14" width="11.7109375" style="48" bestFit="1" customWidth="1"/>
    <col min="15" max="17" width="9.7109375" style="48"/>
    <col min="18" max="18" width="12.7109375" style="48" customWidth="1"/>
    <col min="19" max="19" width="16.7109375" style="48" customWidth="1"/>
    <col min="20" max="20" width="9.7109375" style="48"/>
    <col min="21" max="21" width="22.42578125" style="48" customWidth="1"/>
    <col min="22" max="16384" width="9.7109375" style="48"/>
  </cols>
  <sheetData>
    <row r="2" spans="2:13" ht="38.450000000000003" customHeight="1" x14ac:dyDescent="0.25">
      <c r="B2" s="888" t="s">
        <v>317</v>
      </c>
      <c r="C2" s="889"/>
      <c r="D2" s="889"/>
      <c r="E2" s="889"/>
      <c r="F2" s="889"/>
      <c r="G2" s="889"/>
      <c r="H2" s="889"/>
      <c r="I2" s="889"/>
      <c r="J2" s="889"/>
      <c r="K2" s="889"/>
      <c r="L2" s="889"/>
      <c r="M2" s="890"/>
    </row>
    <row r="4" spans="2:13" ht="16.5" thickBot="1" x14ac:dyDescent="0.3"/>
    <row r="5" spans="2:13" ht="16.5" thickBot="1" x14ac:dyDescent="0.3">
      <c r="B5" s="886" t="s">
        <v>318</v>
      </c>
      <c r="C5" s="887"/>
    </row>
    <row r="6" spans="2:13" x14ac:dyDescent="0.25">
      <c r="B6" s="835" t="s">
        <v>319</v>
      </c>
      <c r="C6" s="836" t="s">
        <v>74</v>
      </c>
    </row>
    <row r="7" spans="2:13" x14ac:dyDescent="0.25">
      <c r="B7" s="48"/>
      <c r="C7" s="48"/>
    </row>
    <row r="8" spans="2:13" ht="45" x14ac:dyDescent="0.25">
      <c r="B8" s="837" t="s">
        <v>320</v>
      </c>
      <c r="C8" s="838"/>
      <c r="D8" s="51"/>
      <c r="E8" s="51"/>
      <c r="F8" s="51"/>
      <c r="G8" s="51"/>
      <c r="H8" s="51"/>
    </row>
    <row r="9" spans="2:13" x14ac:dyDescent="0.25">
      <c r="B9" s="837" t="s">
        <v>321</v>
      </c>
      <c r="C9" s="839" t="s">
        <v>2</v>
      </c>
      <c r="D9" s="51"/>
      <c r="E9" s="51"/>
      <c r="F9" s="51"/>
      <c r="G9" s="51"/>
      <c r="H9" s="51"/>
    </row>
    <row r="10" spans="2:13" x14ac:dyDescent="0.25">
      <c r="B10" s="840" t="s">
        <v>322</v>
      </c>
      <c r="C10" s="841">
        <v>5708720</v>
      </c>
      <c r="D10" s="51"/>
      <c r="E10" s="51"/>
      <c r="F10" s="51"/>
      <c r="G10" s="51"/>
      <c r="H10" s="51"/>
    </row>
    <row r="11" spans="2:13" x14ac:dyDescent="0.25">
      <c r="B11" s="842" t="s">
        <v>323</v>
      </c>
      <c r="C11" s="843">
        <v>414423</v>
      </c>
      <c r="D11" s="51"/>
      <c r="E11" s="51"/>
      <c r="F11" s="51"/>
      <c r="G11" s="51"/>
      <c r="H11" s="51"/>
    </row>
    <row r="12" spans="2:13" x14ac:dyDescent="0.25">
      <c r="B12" s="842" t="s">
        <v>324</v>
      </c>
      <c r="C12" s="843">
        <v>3261179</v>
      </c>
      <c r="D12" s="51"/>
      <c r="E12" s="51"/>
      <c r="F12" s="51"/>
      <c r="G12" s="51"/>
      <c r="H12" s="51"/>
    </row>
    <row r="13" spans="2:13" x14ac:dyDescent="0.25">
      <c r="B13" s="842" t="s">
        <v>325</v>
      </c>
      <c r="C13" s="843">
        <v>2595052.61</v>
      </c>
      <c r="D13" s="51"/>
      <c r="E13" s="51"/>
      <c r="F13" s="51"/>
      <c r="G13" s="51"/>
      <c r="H13" s="51"/>
    </row>
    <row r="14" spans="2:13" x14ac:dyDescent="0.25">
      <c r="B14" s="842" t="s">
        <v>326</v>
      </c>
      <c r="C14" s="843">
        <v>292113</v>
      </c>
      <c r="D14" s="51"/>
      <c r="E14" s="51"/>
      <c r="F14" s="51"/>
      <c r="G14" s="51"/>
      <c r="H14" s="51"/>
    </row>
    <row r="15" spans="2:13" x14ac:dyDescent="0.25">
      <c r="B15" s="842" t="s">
        <v>327</v>
      </c>
      <c r="C15" s="843">
        <v>515029</v>
      </c>
      <c r="D15" s="51"/>
      <c r="E15" s="51"/>
      <c r="F15" s="51"/>
      <c r="G15" s="51"/>
      <c r="H15" s="51"/>
    </row>
    <row r="16" spans="2:13" x14ac:dyDescent="0.25">
      <c r="B16" s="842" t="s">
        <v>328</v>
      </c>
      <c r="C16" s="843">
        <v>197000</v>
      </c>
      <c r="D16" s="51"/>
      <c r="E16" s="51"/>
      <c r="F16" s="51"/>
      <c r="G16" s="51"/>
      <c r="H16" s="51"/>
    </row>
    <row r="17" spans="2:8" x14ac:dyDescent="0.25">
      <c r="B17" s="842" t="s">
        <v>329</v>
      </c>
      <c r="C17" s="843">
        <v>156270</v>
      </c>
      <c r="D17" s="51"/>
      <c r="E17" s="51"/>
      <c r="F17" s="51"/>
      <c r="G17" s="51"/>
      <c r="H17" s="51"/>
    </row>
    <row r="18" spans="2:8" x14ac:dyDescent="0.25">
      <c r="B18" s="842" t="s">
        <v>330</v>
      </c>
      <c r="C18" s="843">
        <v>400646</v>
      </c>
      <c r="D18" s="51"/>
      <c r="E18" s="51"/>
      <c r="F18" s="51"/>
      <c r="G18" s="51"/>
      <c r="H18" s="51"/>
    </row>
    <row r="19" spans="2:8" x14ac:dyDescent="0.25">
      <c r="B19" s="842" t="s">
        <v>465</v>
      </c>
      <c r="C19" s="843">
        <v>750000</v>
      </c>
      <c r="D19" s="51"/>
      <c r="E19" s="51"/>
      <c r="F19" s="51"/>
      <c r="G19" s="51"/>
      <c r="H19" s="51"/>
    </row>
    <row r="20" spans="2:8" x14ac:dyDescent="0.25">
      <c r="B20" s="842" t="s">
        <v>467</v>
      </c>
      <c r="C20" s="843">
        <v>17000</v>
      </c>
      <c r="D20" s="51"/>
      <c r="E20" s="51"/>
      <c r="F20" s="51"/>
      <c r="G20" s="51"/>
      <c r="H20" s="51"/>
    </row>
    <row r="21" spans="2:8" x14ac:dyDescent="0.25">
      <c r="B21" s="842" t="s">
        <v>470</v>
      </c>
      <c r="C21" s="843">
        <v>80400</v>
      </c>
      <c r="D21" s="51"/>
      <c r="E21" s="51"/>
      <c r="F21" s="51"/>
    </row>
    <row r="22" spans="2:8" x14ac:dyDescent="0.25">
      <c r="B22" s="842" t="s">
        <v>597</v>
      </c>
      <c r="C22" s="843">
        <v>43482</v>
      </c>
    </row>
    <row r="23" spans="2:8" x14ac:dyDescent="0.25">
      <c r="B23" s="842" t="s">
        <v>662</v>
      </c>
      <c r="C23" s="843">
        <v>711973</v>
      </c>
    </row>
    <row r="24" spans="2:8" x14ac:dyDescent="0.25">
      <c r="B24" s="842" t="s">
        <v>398</v>
      </c>
      <c r="C24" s="843">
        <v>615853</v>
      </c>
    </row>
    <row r="25" spans="2:8" x14ac:dyDescent="0.25">
      <c r="B25" s="842" t="s">
        <v>746</v>
      </c>
      <c r="C25" s="843">
        <v>400000</v>
      </c>
    </row>
    <row r="26" spans="2:8" x14ac:dyDescent="0.25">
      <c r="B26" s="842" t="s">
        <v>393</v>
      </c>
      <c r="C26" s="843">
        <v>73062</v>
      </c>
      <c r="D26" s="53"/>
      <c r="E26" s="53"/>
    </row>
    <row r="27" spans="2:8" x14ac:dyDescent="0.25">
      <c r="B27" s="842" t="s">
        <v>829</v>
      </c>
      <c r="C27" s="843">
        <v>32800</v>
      </c>
      <c r="D27" s="53"/>
      <c r="E27" s="53"/>
    </row>
    <row r="28" spans="2:8" x14ac:dyDescent="0.25">
      <c r="B28" s="842" t="s">
        <v>828</v>
      </c>
      <c r="C28" s="843">
        <v>399283</v>
      </c>
      <c r="D28" s="53"/>
      <c r="E28" s="53"/>
    </row>
    <row r="29" spans="2:8" x14ac:dyDescent="0.25">
      <c r="B29" s="844" t="s">
        <v>73</v>
      </c>
      <c r="C29" s="845">
        <v>16664285.609999999</v>
      </c>
      <c r="D29" s="53"/>
      <c r="E29" s="53"/>
    </row>
    <row r="30" spans="2:8" x14ac:dyDescent="0.25">
      <c r="B30" s="52"/>
      <c r="C30" s="52"/>
      <c r="D30" s="53"/>
      <c r="E30" s="53"/>
    </row>
    <row r="31" spans="2:8" s="247" customFormat="1" ht="16.5" thickBot="1" x14ac:dyDescent="0.3">
      <c r="B31" s="258" t="s">
        <v>383</v>
      </c>
      <c r="C31" s="248" t="s">
        <v>261</v>
      </c>
    </row>
    <row r="32" spans="2:8" s="247" customFormat="1" ht="16.5" thickBot="1" x14ac:dyDescent="0.3">
      <c r="B32" s="892" t="s">
        <v>623</v>
      </c>
      <c r="C32" s="893"/>
    </row>
    <row r="33" spans="2:8" s="247" customFormat="1" ht="30" x14ac:dyDescent="0.25">
      <c r="B33" s="259" t="s">
        <v>624</v>
      </c>
      <c r="C33" s="249"/>
      <c r="D33"/>
      <c r="E33"/>
      <c r="F33"/>
      <c r="G33"/>
      <c r="H33" s="250"/>
    </row>
    <row r="34" spans="2:8" s="247" customFormat="1" x14ac:dyDescent="0.25">
      <c r="B34" s="259" t="s">
        <v>321</v>
      </c>
      <c r="C34" s="251" t="s">
        <v>2</v>
      </c>
      <c r="D34"/>
      <c r="E34"/>
      <c r="F34"/>
      <c r="G34"/>
      <c r="H34" s="250"/>
    </row>
    <row r="35" spans="2:8" s="247" customFormat="1" x14ac:dyDescent="0.25">
      <c r="B35" s="252" t="s">
        <v>322</v>
      </c>
      <c r="C35" s="253">
        <v>723675.93633648218</v>
      </c>
      <c r="D35"/>
      <c r="E35"/>
      <c r="F35"/>
      <c r="G35"/>
      <c r="H35" s="250"/>
    </row>
    <row r="36" spans="2:8" s="247" customFormat="1" x14ac:dyDescent="0.25">
      <c r="B36" s="254" t="s">
        <v>324</v>
      </c>
      <c r="C36" s="255">
        <v>585345.41666666674</v>
      </c>
      <c r="D36"/>
      <c r="E36"/>
      <c r="F36"/>
      <c r="G36"/>
      <c r="H36" s="250"/>
    </row>
    <row r="37" spans="2:8" s="247" customFormat="1" x14ac:dyDescent="0.25">
      <c r="B37" s="254" t="s">
        <v>325</v>
      </c>
      <c r="C37" s="255">
        <v>1022388.1533101045</v>
      </c>
      <c r="D37"/>
      <c r="E37"/>
      <c r="F37"/>
      <c r="G37"/>
      <c r="H37" s="250"/>
    </row>
    <row r="38" spans="2:8" s="247" customFormat="1" x14ac:dyDescent="0.25">
      <c r="B38" s="254" t="s">
        <v>330</v>
      </c>
      <c r="C38" s="255">
        <v>37538.200440528635</v>
      </c>
      <c r="D38"/>
      <c r="E38"/>
      <c r="F38"/>
      <c r="G38"/>
      <c r="H38" s="250"/>
    </row>
    <row r="39" spans="2:8" s="247" customFormat="1" x14ac:dyDescent="0.25">
      <c r="B39" s="254" t="s">
        <v>597</v>
      </c>
      <c r="C39" s="255">
        <v>43482</v>
      </c>
      <c r="D39"/>
      <c r="E39"/>
      <c r="F39"/>
      <c r="G39"/>
      <c r="H39" s="250"/>
    </row>
    <row r="40" spans="2:8" s="247" customFormat="1" x14ac:dyDescent="0.25">
      <c r="B40" s="254" t="s">
        <v>327</v>
      </c>
      <c r="C40" s="255">
        <v>100963.83480176212</v>
      </c>
      <c r="D40"/>
      <c r="E40"/>
      <c r="F40"/>
      <c r="G40"/>
      <c r="H40" s="250"/>
    </row>
    <row r="41" spans="2:8" s="247" customFormat="1" x14ac:dyDescent="0.25">
      <c r="B41" s="254" t="s">
        <v>467</v>
      </c>
      <c r="C41" s="255">
        <v>17000</v>
      </c>
      <c r="D41"/>
      <c r="E41"/>
      <c r="F41"/>
      <c r="G41"/>
      <c r="H41" s="250"/>
    </row>
    <row r="42" spans="2:8" s="247" customFormat="1" x14ac:dyDescent="0.25">
      <c r="B42" s="254" t="s">
        <v>329</v>
      </c>
      <c r="C42" s="255">
        <v>50000</v>
      </c>
      <c r="D42"/>
      <c r="E42"/>
      <c r="F42"/>
      <c r="G42"/>
      <c r="H42" s="250"/>
    </row>
    <row r="43" spans="2:8" s="247" customFormat="1" x14ac:dyDescent="0.25">
      <c r="B43" s="254" t="s">
        <v>398</v>
      </c>
      <c r="C43" s="255">
        <v>78945</v>
      </c>
      <c r="D43"/>
      <c r="E43"/>
      <c r="F43"/>
      <c r="G43"/>
      <c r="H43" s="250"/>
    </row>
    <row r="44" spans="2:8" s="247" customFormat="1" x14ac:dyDescent="0.25">
      <c r="B44" s="254" t="s">
        <v>828</v>
      </c>
      <c r="C44" s="255">
        <v>79925.586080586087</v>
      </c>
      <c r="D44"/>
      <c r="E44"/>
      <c r="F44"/>
      <c r="G44"/>
      <c r="H44" s="250"/>
    </row>
    <row r="45" spans="2:8" s="247" customFormat="1" x14ac:dyDescent="0.25">
      <c r="B45" s="256" t="s">
        <v>73</v>
      </c>
      <c r="C45" s="257">
        <v>2739264.12763613</v>
      </c>
      <c r="D45"/>
      <c r="E45"/>
      <c r="F45"/>
      <c r="G45"/>
      <c r="H45" s="250"/>
    </row>
    <row r="46" spans="2:8" x14ac:dyDescent="0.25">
      <c r="B46"/>
      <c r="C46"/>
      <c r="D46" s="53"/>
      <c r="E46" s="53"/>
    </row>
    <row r="47" spans="2:8" x14ac:dyDescent="0.25">
      <c r="B47"/>
      <c r="C47"/>
      <c r="D47" s="53"/>
      <c r="E47" s="53"/>
    </row>
    <row r="48" spans="2:8" x14ac:dyDescent="0.25">
      <c r="B48" s="260"/>
      <c r="C48" s="261"/>
      <c r="D48" s="53"/>
      <c r="E48" s="53"/>
    </row>
    <row r="49" spans="2:8" x14ac:dyDescent="0.25">
      <c r="B49" s="260"/>
      <c r="C49" s="261"/>
      <c r="D49" s="53"/>
      <c r="E49" s="53"/>
    </row>
    <row r="50" spans="2:8" x14ac:dyDescent="0.25">
      <c r="B50" s="260"/>
      <c r="C50" s="261"/>
      <c r="D50" s="53"/>
      <c r="E50" s="53"/>
    </row>
    <row r="51" spans="2:8" x14ac:dyDescent="0.25">
      <c r="B51" s="260"/>
      <c r="C51" s="261"/>
      <c r="D51" s="53"/>
      <c r="E51" s="53"/>
    </row>
    <row r="52" spans="2:8" x14ac:dyDescent="0.25">
      <c r="B52" s="52"/>
      <c r="C52" s="52"/>
      <c r="D52" s="53"/>
      <c r="E52" s="53"/>
    </row>
    <row r="53" spans="2:8" x14ac:dyDescent="0.25">
      <c r="B53" s="52"/>
      <c r="C53" s="52"/>
      <c r="D53" s="53"/>
      <c r="E53" s="53"/>
    </row>
    <row r="54" spans="2:8" ht="16.5" thickBot="1" x14ac:dyDescent="0.3">
      <c r="B54" s="861" t="s">
        <v>321</v>
      </c>
      <c r="C54" s="836" t="s">
        <v>261</v>
      </c>
    </row>
    <row r="55" spans="2:8" ht="16.5" thickBot="1" x14ac:dyDescent="0.3">
      <c r="B55" s="886" t="s">
        <v>331</v>
      </c>
      <c r="C55" s="887"/>
    </row>
    <row r="56" spans="2:8" ht="30" x14ac:dyDescent="0.25">
      <c r="B56" s="837" t="s">
        <v>320</v>
      </c>
      <c r="C56" s="838"/>
      <c r="D56" s="51"/>
      <c r="E56" s="51"/>
      <c r="F56" s="54"/>
      <c r="G56" s="51"/>
      <c r="H56" s="51"/>
    </row>
    <row r="57" spans="2:8" x14ac:dyDescent="0.25">
      <c r="B57" s="849" t="s">
        <v>319</v>
      </c>
      <c r="C57" s="839" t="s">
        <v>2</v>
      </c>
      <c r="D57" s="51"/>
      <c r="E57" s="51"/>
      <c r="F57" s="51"/>
      <c r="G57" s="51"/>
      <c r="H57" s="51"/>
    </row>
    <row r="58" spans="2:8" x14ac:dyDescent="0.25">
      <c r="B58" s="840">
        <v>2012</v>
      </c>
      <c r="C58" s="841">
        <v>3335112.61</v>
      </c>
      <c r="D58" s="51"/>
      <c r="E58" s="51"/>
      <c r="F58" s="51"/>
      <c r="G58" s="51"/>
      <c r="H58" s="51"/>
    </row>
    <row r="59" spans="2:8" x14ac:dyDescent="0.25">
      <c r="B59" s="842">
        <v>2013</v>
      </c>
      <c r="C59" s="843">
        <v>4596720</v>
      </c>
      <c r="D59" s="51"/>
      <c r="E59" s="51"/>
      <c r="F59" s="51"/>
      <c r="G59" s="51"/>
      <c r="H59" s="51"/>
    </row>
    <row r="60" spans="2:8" x14ac:dyDescent="0.25">
      <c r="B60" s="842">
        <v>2014</v>
      </c>
      <c r="C60" s="843">
        <v>4695578</v>
      </c>
      <c r="D60" s="51"/>
      <c r="E60" s="51"/>
      <c r="F60" s="51"/>
      <c r="G60" s="51"/>
      <c r="H60" s="51"/>
    </row>
    <row r="61" spans="2:8" x14ac:dyDescent="0.25">
      <c r="B61" s="842">
        <v>2015</v>
      </c>
      <c r="C61" s="843">
        <v>4036875</v>
      </c>
      <c r="D61" s="51"/>
      <c r="E61" s="51"/>
      <c r="F61" s="51"/>
      <c r="G61" s="51"/>
      <c r="H61" s="51"/>
    </row>
    <row r="62" spans="2:8" x14ac:dyDescent="0.25">
      <c r="B62" s="844" t="s">
        <v>73</v>
      </c>
      <c r="C62" s="845">
        <v>16664285.609999999</v>
      </c>
      <c r="D62" s="51"/>
      <c r="E62" s="51"/>
      <c r="F62" s="51"/>
      <c r="G62" s="51"/>
      <c r="H62" s="51"/>
    </row>
    <row r="63" spans="2:8" x14ac:dyDescent="0.25">
      <c r="B63" s="51"/>
      <c r="C63" s="51"/>
      <c r="D63" s="51"/>
      <c r="E63" s="51"/>
      <c r="F63" s="51"/>
      <c r="G63" s="51"/>
      <c r="H63" s="51"/>
    </row>
    <row r="64" spans="2:8" x14ac:dyDescent="0.25">
      <c r="B64" s="51"/>
      <c r="C64" s="51"/>
      <c r="D64" s="51"/>
      <c r="E64" s="51"/>
      <c r="F64" s="51"/>
      <c r="G64" s="51"/>
      <c r="H64" s="51"/>
    </row>
    <row r="65" spans="2:22" x14ac:dyDescent="0.25">
      <c r="B65" s="51"/>
      <c r="C65" s="51"/>
      <c r="D65" s="51"/>
      <c r="E65" s="51"/>
      <c r="F65" s="51"/>
      <c r="G65" s="51"/>
      <c r="H65" s="51"/>
    </row>
    <row r="66" spans="2:22" x14ac:dyDescent="0.25">
      <c r="B66" s="51"/>
      <c r="C66" s="51"/>
      <c r="D66" s="51"/>
      <c r="E66" s="51"/>
      <c r="F66" s="51"/>
      <c r="G66" s="51"/>
      <c r="H66" s="51"/>
    </row>
    <row r="67" spans="2:22" ht="16.5" thickBot="1" x14ac:dyDescent="0.3">
      <c r="B67"/>
      <c r="C67"/>
      <c r="D67" s="51"/>
      <c r="E67" s="51"/>
      <c r="F67" s="51"/>
      <c r="G67" s="51"/>
      <c r="H67" s="51"/>
    </row>
    <row r="68" spans="2:22" ht="16.5" thickBot="1" x14ac:dyDescent="0.3">
      <c r="B68" s="886" t="s">
        <v>332</v>
      </c>
      <c r="C68" s="887"/>
    </row>
    <row r="69" spans="2:22" x14ac:dyDescent="0.25">
      <c r="B69" s="846"/>
      <c r="C69" s="837" t="s">
        <v>321</v>
      </c>
      <c r="D69" s="847"/>
      <c r="E69" s="847"/>
      <c r="F69" s="847"/>
      <c r="G69" s="847"/>
      <c r="H69" s="847"/>
      <c r="I69" s="847"/>
      <c r="J69" s="847"/>
      <c r="K69" s="847"/>
      <c r="L69" s="847"/>
      <c r="M69" s="847"/>
      <c r="N69" s="847"/>
      <c r="O69" s="847"/>
      <c r="P69" s="847"/>
      <c r="Q69" s="847"/>
      <c r="R69" s="847"/>
      <c r="S69" s="847"/>
      <c r="T69" s="847"/>
      <c r="U69" s="847"/>
      <c r="V69" s="848"/>
    </row>
    <row r="70" spans="2:22" x14ac:dyDescent="0.25">
      <c r="B70" s="849" t="s">
        <v>75</v>
      </c>
      <c r="C70" s="840" t="s">
        <v>322</v>
      </c>
      <c r="D70" s="850" t="s">
        <v>323</v>
      </c>
      <c r="E70" s="850" t="s">
        <v>324</v>
      </c>
      <c r="F70" s="850" t="s">
        <v>325</v>
      </c>
      <c r="G70" s="850" t="s">
        <v>326</v>
      </c>
      <c r="H70" s="850" t="s">
        <v>327</v>
      </c>
      <c r="I70" s="850" t="s">
        <v>328</v>
      </c>
      <c r="J70" s="850" t="s">
        <v>329</v>
      </c>
      <c r="K70" s="850" t="s">
        <v>330</v>
      </c>
      <c r="L70" s="850" t="s">
        <v>465</v>
      </c>
      <c r="M70" s="850" t="s">
        <v>467</v>
      </c>
      <c r="N70" s="850" t="s">
        <v>470</v>
      </c>
      <c r="O70" s="850" t="s">
        <v>597</v>
      </c>
      <c r="P70" s="850" t="s">
        <v>662</v>
      </c>
      <c r="Q70" s="850" t="s">
        <v>398</v>
      </c>
      <c r="R70" s="850" t="s">
        <v>746</v>
      </c>
      <c r="S70" s="850" t="s">
        <v>393</v>
      </c>
      <c r="T70" s="850" t="s">
        <v>829</v>
      </c>
      <c r="U70" s="850" t="s">
        <v>828</v>
      </c>
      <c r="V70" s="839" t="s">
        <v>73</v>
      </c>
    </row>
    <row r="71" spans="2:22" x14ac:dyDescent="0.25">
      <c r="B71" s="840" t="s">
        <v>663</v>
      </c>
      <c r="C71" s="851">
        <v>2174530.0636635181</v>
      </c>
      <c r="D71" s="852">
        <v>338770</v>
      </c>
      <c r="E71" s="852">
        <v>1067394.5833333333</v>
      </c>
      <c r="F71" s="852">
        <v>1172664.4566898956</v>
      </c>
      <c r="G71" s="852">
        <v>292113</v>
      </c>
      <c r="H71" s="852">
        <v>414065.16519823787</v>
      </c>
      <c r="I71" s="852">
        <v>197000</v>
      </c>
      <c r="J71" s="852">
        <v>106270</v>
      </c>
      <c r="K71" s="852">
        <v>153948.79955947137</v>
      </c>
      <c r="L71" s="852">
        <v>0</v>
      </c>
      <c r="M71" s="852">
        <v>0</v>
      </c>
      <c r="N71" s="852">
        <v>0</v>
      </c>
      <c r="O71" s="852">
        <v>0</v>
      </c>
      <c r="P71" s="852">
        <v>0</v>
      </c>
      <c r="Q71" s="852">
        <v>0</v>
      </c>
      <c r="R71" s="852">
        <v>0</v>
      </c>
      <c r="S71" s="852">
        <v>0</v>
      </c>
      <c r="T71" s="852">
        <v>0</v>
      </c>
      <c r="U71" s="852">
        <v>165239.41391941393</v>
      </c>
      <c r="V71" s="841">
        <v>6081995.4823638685</v>
      </c>
    </row>
    <row r="72" spans="2:22" x14ac:dyDescent="0.25">
      <c r="B72" s="842" t="s">
        <v>664</v>
      </c>
      <c r="C72" s="853">
        <v>1303624.0807537101</v>
      </c>
      <c r="D72" s="854">
        <v>0</v>
      </c>
      <c r="E72" s="854">
        <v>968695.31498302927</v>
      </c>
      <c r="F72" s="854">
        <v>1022388.1533101045</v>
      </c>
      <c r="G72" s="854">
        <v>0</v>
      </c>
      <c r="H72" s="854">
        <v>100963.83480176212</v>
      </c>
      <c r="I72" s="854">
        <v>0</v>
      </c>
      <c r="J72" s="854">
        <v>50000</v>
      </c>
      <c r="K72" s="854">
        <v>37538.200440528635</v>
      </c>
      <c r="L72" s="854">
        <v>564560.43956043955</v>
      </c>
      <c r="M72" s="854">
        <v>17000</v>
      </c>
      <c r="N72" s="854">
        <v>80400</v>
      </c>
      <c r="O72" s="854">
        <v>43482</v>
      </c>
      <c r="P72" s="854">
        <v>439801.04303797468</v>
      </c>
      <c r="Q72" s="854">
        <v>161000.81218274112</v>
      </c>
      <c r="R72" s="854">
        <v>0</v>
      </c>
      <c r="S72" s="854">
        <v>0</v>
      </c>
      <c r="T72" s="854">
        <v>0</v>
      </c>
      <c r="U72" s="854">
        <v>79925.586080586087</v>
      </c>
      <c r="V72" s="843">
        <v>4869379.4651508769</v>
      </c>
    </row>
    <row r="73" spans="2:22" x14ac:dyDescent="0.25">
      <c r="B73" s="842" t="s">
        <v>696</v>
      </c>
      <c r="C73" s="853">
        <v>1487275.0303130643</v>
      </c>
      <c r="D73" s="854">
        <v>75653</v>
      </c>
      <c r="E73" s="854">
        <v>1012703.6182644019</v>
      </c>
      <c r="F73" s="854">
        <v>136231.88405797101</v>
      </c>
      <c r="G73" s="854">
        <v>0</v>
      </c>
      <c r="H73" s="854">
        <v>0</v>
      </c>
      <c r="I73" s="854">
        <v>0</v>
      </c>
      <c r="J73" s="854">
        <v>0</v>
      </c>
      <c r="K73" s="854">
        <v>95767.775735294112</v>
      </c>
      <c r="L73" s="854">
        <v>185439.56043956045</v>
      </c>
      <c r="M73" s="854">
        <v>0</v>
      </c>
      <c r="N73" s="854">
        <v>0</v>
      </c>
      <c r="O73" s="854">
        <v>0</v>
      </c>
      <c r="P73" s="854">
        <v>272171.95696202532</v>
      </c>
      <c r="Q73" s="854">
        <v>252378.94946109448</v>
      </c>
      <c r="R73" s="854">
        <v>400000</v>
      </c>
      <c r="S73" s="854">
        <v>54846.542465753424</v>
      </c>
      <c r="T73" s="854">
        <v>23043.444227005872</v>
      </c>
      <c r="U73" s="854">
        <v>154118</v>
      </c>
      <c r="V73" s="843">
        <v>4149629.7619261709</v>
      </c>
    </row>
    <row r="74" spans="2:22" x14ac:dyDescent="0.25">
      <c r="B74" s="855" t="s">
        <v>887</v>
      </c>
      <c r="C74" s="856">
        <v>743290.82526970748</v>
      </c>
      <c r="D74" s="857">
        <v>0</v>
      </c>
      <c r="E74" s="857">
        <v>212385.48341923562</v>
      </c>
      <c r="F74" s="857">
        <v>263768.11594202899</v>
      </c>
      <c r="G74" s="857">
        <v>0</v>
      </c>
      <c r="H74" s="857">
        <v>0</v>
      </c>
      <c r="I74" s="857">
        <v>0</v>
      </c>
      <c r="J74" s="857">
        <v>0</v>
      </c>
      <c r="K74" s="857">
        <v>113391.22426470589</v>
      </c>
      <c r="L74" s="857">
        <v>0</v>
      </c>
      <c r="M74" s="857">
        <v>0</v>
      </c>
      <c r="N74" s="857">
        <v>0</v>
      </c>
      <c r="O74" s="857">
        <v>0</v>
      </c>
      <c r="P74" s="857">
        <v>0</v>
      </c>
      <c r="Q74" s="857">
        <v>202473.23835616439</v>
      </c>
      <c r="R74" s="857">
        <v>0</v>
      </c>
      <c r="S74" s="857">
        <v>18215.457534246576</v>
      </c>
      <c r="T74" s="857">
        <v>9756.5557729941283</v>
      </c>
      <c r="U74" s="857">
        <v>0</v>
      </c>
      <c r="V74" s="858">
        <v>1563280.9005590831</v>
      </c>
    </row>
    <row r="99" spans="2:8" ht="16.5" thickBot="1" x14ac:dyDescent="0.3"/>
    <row r="100" spans="2:8" ht="16.5" thickBot="1" x14ac:dyDescent="0.3">
      <c r="B100" s="886" t="s">
        <v>333</v>
      </c>
      <c r="C100" s="887"/>
    </row>
    <row r="101" spans="2:8" x14ac:dyDescent="0.25">
      <c r="B101" s="835" t="s">
        <v>319</v>
      </c>
      <c r="C101" s="836" t="s">
        <v>74</v>
      </c>
      <c r="D101" s="51"/>
      <c r="E101" s="51"/>
      <c r="F101" s="51"/>
      <c r="G101" s="51"/>
      <c r="H101" s="51"/>
    </row>
    <row r="102" spans="2:8" x14ac:dyDescent="0.25">
      <c r="D102" s="51"/>
      <c r="E102" s="51"/>
      <c r="F102" s="51"/>
      <c r="G102" s="51"/>
      <c r="H102" s="51"/>
    </row>
    <row r="103" spans="2:8" x14ac:dyDescent="0.25">
      <c r="B103" s="837" t="s">
        <v>75</v>
      </c>
      <c r="C103" s="839" t="s">
        <v>2</v>
      </c>
      <c r="D103" s="51"/>
      <c r="E103" s="54"/>
      <c r="F103" s="51"/>
      <c r="G103" s="51"/>
      <c r="H103" s="51"/>
    </row>
    <row r="104" spans="2:8" x14ac:dyDescent="0.25">
      <c r="B104" s="840" t="s">
        <v>334</v>
      </c>
      <c r="C104" s="859">
        <v>0.21542239763459736</v>
      </c>
      <c r="D104" s="51"/>
      <c r="E104" s="51"/>
      <c r="F104" s="51"/>
      <c r="G104" s="51"/>
      <c r="H104" s="51"/>
    </row>
    <row r="105" spans="2:8" x14ac:dyDescent="0.25">
      <c r="B105" s="842" t="s">
        <v>335</v>
      </c>
      <c r="C105" s="874">
        <v>0.51437396895173315</v>
      </c>
      <c r="D105" s="51"/>
      <c r="E105" s="51"/>
      <c r="F105" s="51"/>
      <c r="G105" s="51"/>
      <c r="H105" s="51"/>
    </row>
    <row r="106" spans="2:8" x14ac:dyDescent="0.25">
      <c r="B106" s="855" t="s">
        <v>336</v>
      </c>
      <c r="C106" s="860">
        <v>0.30073037993012347</v>
      </c>
      <c r="D106" s="51"/>
      <c r="E106" s="51"/>
      <c r="F106" s="51"/>
      <c r="G106" s="51"/>
      <c r="H106" s="51"/>
    </row>
    <row r="107" spans="2:8" x14ac:dyDescent="0.25">
      <c r="B107" s="55"/>
      <c r="C107" s="56"/>
      <c r="D107" s="51"/>
      <c r="E107" s="51"/>
      <c r="F107" s="51"/>
      <c r="G107" s="51"/>
      <c r="H107" s="51"/>
    </row>
    <row r="108" spans="2:8" x14ac:dyDescent="0.25">
      <c r="B108" s="55"/>
      <c r="C108" s="56"/>
      <c r="D108" s="51"/>
      <c r="E108" s="51"/>
      <c r="F108" s="51"/>
      <c r="G108" s="51"/>
      <c r="H108" s="51"/>
    </row>
    <row r="109" spans="2:8" x14ac:dyDescent="0.25">
      <c r="B109" s="55"/>
      <c r="C109" s="56"/>
      <c r="D109" s="51"/>
      <c r="E109" s="51"/>
      <c r="F109" s="51"/>
      <c r="G109" s="51"/>
      <c r="H109" s="51"/>
    </row>
    <row r="113" spans="2:9" ht="16.5" thickBot="1" x14ac:dyDescent="0.3">
      <c r="D113" s="51"/>
      <c r="E113" s="51"/>
      <c r="F113" s="51"/>
      <c r="G113" s="51"/>
      <c r="H113" s="51"/>
    </row>
    <row r="114" spans="2:9" ht="16.5" thickBot="1" x14ac:dyDescent="0.3">
      <c r="B114" s="886" t="s">
        <v>333</v>
      </c>
      <c r="C114" s="887"/>
      <c r="D114" s="51"/>
      <c r="E114" s="51"/>
      <c r="F114" s="51"/>
      <c r="G114" s="51"/>
      <c r="H114" s="51"/>
    </row>
    <row r="115" spans="2:9" x14ac:dyDescent="0.25">
      <c r="B115" s="835" t="s">
        <v>319</v>
      </c>
      <c r="C115" s="836" t="s">
        <v>74</v>
      </c>
      <c r="D115" s="51"/>
      <c r="E115" s="54"/>
      <c r="F115" s="51"/>
      <c r="G115" s="51"/>
      <c r="H115" s="51"/>
    </row>
    <row r="116" spans="2:9" x14ac:dyDescent="0.25">
      <c r="D116" s="51"/>
      <c r="E116" s="51"/>
      <c r="F116" s="51"/>
      <c r="G116" s="51"/>
      <c r="H116" s="51"/>
    </row>
    <row r="117" spans="2:9" x14ac:dyDescent="0.25">
      <c r="B117" s="837" t="s">
        <v>75</v>
      </c>
      <c r="C117" s="839" t="s">
        <v>2</v>
      </c>
      <c r="D117" s="51"/>
      <c r="E117" s="51"/>
      <c r="F117" s="51"/>
      <c r="G117" s="51"/>
      <c r="H117" s="51"/>
    </row>
    <row r="118" spans="2:9" x14ac:dyDescent="0.25">
      <c r="B118" s="840" t="s">
        <v>337</v>
      </c>
      <c r="C118" s="859">
        <v>0.43716989906560694</v>
      </c>
      <c r="D118" s="51"/>
      <c r="E118" s="51"/>
      <c r="F118" s="51"/>
      <c r="G118" s="51"/>
      <c r="H118" s="51"/>
    </row>
    <row r="119" spans="2:9" x14ac:dyDescent="0.25">
      <c r="B119" s="855" t="s">
        <v>338</v>
      </c>
      <c r="C119" s="860">
        <v>0.59978328208095799</v>
      </c>
      <c r="D119" s="51"/>
      <c r="E119" s="51"/>
      <c r="F119" s="51"/>
      <c r="G119" s="51"/>
      <c r="H119" s="51"/>
    </row>
    <row r="120" spans="2:9" x14ac:dyDescent="0.25">
      <c r="B120" s="51"/>
      <c r="C120" s="51"/>
      <c r="D120" s="51"/>
      <c r="E120" s="51"/>
      <c r="F120" s="51"/>
      <c r="G120" s="51"/>
      <c r="H120" s="51"/>
    </row>
    <row r="121" spans="2:9" x14ac:dyDescent="0.25">
      <c r="B121" s="51"/>
      <c r="C121" s="51"/>
      <c r="D121" s="51"/>
      <c r="E121" s="51"/>
      <c r="F121" s="51"/>
      <c r="G121" s="51"/>
      <c r="H121" s="51"/>
    </row>
    <row r="122" spans="2:9" x14ac:dyDescent="0.25">
      <c r="B122" s="51"/>
      <c r="C122" s="51"/>
      <c r="D122" s="51"/>
      <c r="E122" s="51"/>
      <c r="F122" s="51"/>
      <c r="G122" s="51"/>
      <c r="H122" s="51"/>
    </row>
    <row r="123" spans="2:9" x14ac:dyDescent="0.25">
      <c r="B123" s="51"/>
      <c r="C123" s="51"/>
      <c r="D123" s="51"/>
      <c r="E123" s="51"/>
      <c r="F123" s="51"/>
      <c r="G123" s="51"/>
      <c r="H123" s="51"/>
    </row>
    <row r="126" spans="2:9" x14ac:dyDescent="0.25">
      <c r="B126" s="48"/>
      <c r="C126" s="48"/>
    </row>
    <row r="127" spans="2:9" x14ac:dyDescent="0.25">
      <c r="B127" s="48"/>
      <c r="C127" s="48"/>
    </row>
    <row r="128" spans="2:9" ht="18.75" x14ac:dyDescent="0.25">
      <c r="I128" s="57"/>
    </row>
    <row r="129" spans="2:14" ht="16.5" thickBot="1" x14ac:dyDescent="0.3">
      <c r="B129" s="48"/>
      <c r="C129" s="48"/>
      <c r="D129" s="51"/>
      <c r="E129" s="51"/>
      <c r="F129" s="51"/>
      <c r="G129" s="51"/>
      <c r="H129" s="51"/>
    </row>
    <row r="130" spans="2:14" ht="16.5" thickBot="1" x14ac:dyDescent="0.3">
      <c r="B130" s="886" t="s">
        <v>339</v>
      </c>
      <c r="C130" s="887"/>
      <c r="D130" s="51"/>
      <c r="E130" s="51"/>
      <c r="F130" s="51"/>
      <c r="G130" s="51"/>
      <c r="H130" s="51"/>
    </row>
    <row r="131" spans="2:14" x14ac:dyDescent="0.25">
      <c r="B131" s="835" t="s">
        <v>319</v>
      </c>
      <c r="C131" s="836" t="s">
        <v>74</v>
      </c>
      <c r="D131" s="51"/>
      <c r="E131" s="51"/>
      <c r="F131" s="51"/>
      <c r="G131" s="51"/>
      <c r="H131" s="51"/>
    </row>
    <row r="132" spans="2:14" x14ac:dyDescent="0.25">
      <c r="D132" s="51"/>
      <c r="E132" s="51"/>
      <c r="F132" s="51"/>
      <c r="G132" s="51"/>
      <c r="H132" s="51"/>
    </row>
    <row r="133" spans="2:14" x14ac:dyDescent="0.25">
      <c r="B133" s="837" t="s">
        <v>75</v>
      </c>
      <c r="C133" s="839" t="s">
        <v>2</v>
      </c>
      <c r="D133" s="51"/>
      <c r="E133" s="51"/>
      <c r="F133" s="51"/>
      <c r="G133" s="51"/>
      <c r="H133" s="51"/>
    </row>
    <row r="134" spans="2:14" ht="30" x14ac:dyDescent="0.25">
      <c r="B134" s="846" t="s">
        <v>340</v>
      </c>
      <c r="C134" s="859">
        <v>4.4814814814814814E-2</v>
      </c>
      <c r="D134" s="51"/>
      <c r="E134" s="51"/>
      <c r="F134" s="51"/>
      <c r="G134" s="51"/>
      <c r="H134" s="51"/>
    </row>
    <row r="135" spans="2:14" ht="30" x14ac:dyDescent="0.25">
      <c r="B135" s="875" t="s">
        <v>341</v>
      </c>
      <c r="C135" s="860">
        <v>0.95810344827586202</v>
      </c>
      <c r="D135" s="51"/>
      <c r="E135" s="51"/>
      <c r="F135" s="51"/>
      <c r="G135" s="51"/>
      <c r="H135" s="51"/>
    </row>
    <row r="136" spans="2:14" x14ac:dyDescent="0.25">
      <c r="B136"/>
      <c r="C136"/>
      <c r="D136" s="51"/>
      <c r="E136" s="51"/>
      <c r="F136" s="51"/>
      <c r="G136" s="51"/>
      <c r="H136" s="51"/>
    </row>
    <row r="137" spans="2:14" x14ac:dyDescent="0.25">
      <c r="B137" s="55"/>
      <c r="C137" s="56"/>
      <c r="D137" s="51"/>
      <c r="E137" s="51"/>
      <c r="F137" s="51"/>
      <c r="G137" s="51"/>
      <c r="H137" s="51"/>
    </row>
    <row r="138" spans="2:14" x14ac:dyDescent="0.25">
      <c r="B138" s="55"/>
      <c r="C138" s="56"/>
      <c r="D138" s="51"/>
      <c r="E138" s="51"/>
      <c r="F138" s="51"/>
      <c r="G138" s="51"/>
      <c r="H138" s="51"/>
    </row>
    <row r="143" spans="2:14" ht="18.75" x14ac:dyDescent="0.25">
      <c r="N143" s="57"/>
    </row>
    <row r="145" spans="2:8" ht="16.5" thickBot="1" x14ac:dyDescent="0.3"/>
    <row r="146" spans="2:8" ht="16.5" thickBot="1" x14ac:dyDescent="0.3">
      <c r="B146" s="886" t="s">
        <v>342</v>
      </c>
      <c r="C146" s="887"/>
    </row>
    <row r="147" spans="2:8" x14ac:dyDescent="0.25">
      <c r="B147" s="835" t="s">
        <v>319</v>
      </c>
      <c r="C147" s="836" t="s">
        <v>74</v>
      </c>
    </row>
    <row r="149" spans="2:8" x14ac:dyDescent="0.25">
      <c r="B149" s="837" t="s">
        <v>75</v>
      </c>
      <c r="C149" s="839" t="s">
        <v>2</v>
      </c>
      <c r="D149" s="51"/>
      <c r="E149" s="51"/>
      <c r="F149" s="51"/>
      <c r="G149" s="51"/>
      <c r="H149" s="51"/>
    </row>
    <row r="150" spans="2:8" ht="30" x14ac:dyDescent="0.25">
      <c r="B150" s="846" t="s">
        <v>343</v>
      </c>
      <c r="C150" s="859">
        <v>0.33180777329607059</v>
      </c>
      <c r="D150" s="51"/>
      <c r="E150" s="51"/>
      <c r="F150" s="51"/>
      <c r="G150" s="51"/>
      <c r="H150" s="51"/>
    </row>
    <row r="151" spans="2:8" ht="30" x14ac:dyDescent="0.25">
      <c r="B151" s="873" t="s">
        <v>344</v>
      </c>
      <c r="C151" s="874">
        <v>0.29106260910210568</v>
      </c>
      <c r="D151" s="51"/>
      <c r="E151" s="51"/>
      <c r="F151" s="51"/>
      <c r="G151" s="51"/>
      <c r="H151" s="51"/>
    </row>
    <row r="152" spans="2:8" x14ac:dyDescent="0.25">
      <c r="B152" s="875" t="s">
        <v>345</v>
      </c>
      <c r="C152" s="860">
        <v>0.3594430250002022</v>
      </c>
      <c r="D152" s="51"/>
      <c r="E152" s="51"/>
      <c r="F152" s="51"/>
      <c r="G152" s="51"/>
      <c r="H152" s="51"/>
    </row>
    <row r="153" spans="2:8" x14ac:dyDescent="0.25">
      <c r="B153" s="51"/>
      <c r="C153" s="51"/>
      <c r="D153" s="51"/>
      <c r="E153" s="51"/>
      <c r="F153" s="51"/>
      <c r="G153" s="51"/>
      <c r="H153" s="51"/>
    </row>
    <row r="154" spans="2:8" x14ac:dyDescent="0.25">
      <c r="B154" s="891"/>
      <c r="C154" s="891"/>
      <c r="D154" s="51"/>
      <c r="E154" s="51"/>
      <c r="F154" s="51"/>
      <c r="G154" s="51"/>
      <c r="H154" s="51"/>
    </row>
    <row r="155" spans="2:8" x14ac:dyDescent="0.25">
      <c r="B155" s="55"/>
      <c r="C155" s="56"/>
      <c r="D155" s="51"/>
      <c r="E155" s="51"/>
      <c r="F155" s="51"/>
      <c r="G155" s="51"/>
      <c r="H155" s="51"/>
    </row>
    <row r="156" spans="2:8" x14ac:dyDescent="0.25">
      <c r="B156" s="55"/>
      <c r="C156" s="56"/>
      <c r="D156" s="51"/>
      <c r="E156" s="51"/>
      <c r="F156" s="51"/>
      <c r="G156" s="51"/>
      <c r="H156" s="51"/>
    </row>
    <row r="157" spans="2:8" x14ac:dyDescent="0.25">
      <c r="B157" s="55"/>
      <c r="C157" s="56"/>
      <c r="D157" s="51"/>
      <c r="E157" s="51"/>
      <c r="F157" s="51"/>
      <c r="G157" s="51"/>
      <c r="H157" s="51"/>
    </row>
    <row r="158" spans="2:8" ht="16.5" thickBot="1" x14ac:dyDescent="0.3"/>
    <row r="159" spans="2:8" ht="16.5" thickBot="1" x14ac:dyDescent="0.3">
      <c r="B159" s="886" t="s">
        <v>346</v>
      </c>
      <c r="C159" s="887"/>
    </row>
    <row r="160" spans="2:8" x14ac:dyDescent="0.25">
      <c r="B160" s="51"/>
      <c r="C160" s="51"/>
    </row>
    <row r="162" spans="2:8" x14ac:dyDescent="0.25">
      <c r="B162" s="840"/>
      <c r="C162" s="849" t="s">
        <v>319</v>
      </c>
      <c r="D162" s="862"/>
      <c r="E162" s="862"/>
      <c r="F162" s="862"/>
      <c r="G162" s="863"/>
      <c r="H162" s="51"/>
    </row>
    <row r="163" spans="2:8" x14ac:dyDescent="0.25">
      <c r="B163" s="837" t="s">
        <v>75</v>
      </c>
      <c r="C163" s="840">
        <v>2012</v>
      </c>
      <c r="D163" s="850">
        <v>2013</v>
      </c>
      <c r="E163" s="850">
        <v>2014</v>
      </c>
      <c r="F163" s="850">
        <v>2015</v>
      </c>
      <c r="G163" s="839" t="s">
        <v>73</v>
      </c>
      <c r="H163" s="51"/>
    </row>
    <row r="164" spans="2:8" x14ac:dyDescent="0.25">
      <c r="B164" s="840" t="s">
        <v>347</v>
      </c>
      <c r="C164" s="864">
        <v>273381</v>
      </c>
      <c r="D164" s="865">
        <v>57928</v>
      </c>
      <c r="E164" s="865">
        <v>125315</v>
      </c>
      <c r="F164" s="865">
        <v>68704</v>
      </c>
      <c r="G164" s="866">
        <v>525328</v>
      </c>
      <c r="H164" s="51"/>
    </row>
    <row r="165" spans="2:8" x14ac:dyDescent="0.25">
      <c r="B165" s="842" t="s">
        <v>348</v>
      </c>
      <c r="C165" s="867">
        <v>269017</v>
      </c>
      <c r="D165" s="868">
        <v>72891</v>
      </c>
      <c r="E165" s="868">
        <v>139508</v>
      </c>
      <c r="F165" s="868">
        <v>58742</v>
      </c>
      <c r="G165" s="869">
        <v>540158</v>
      </c>
      <c r="H165" s="51"/>
    </row>
    <row r="166" spans="2:8" x14ac:dyDescent="0.25">
      <c r="B166" s="855" t="s">
        <v>349</v>
      </c>
      <c r="C166" s="870">
        <v>292077</v>
      </c>
      <c r="D166" s="871">
        <v>79187</v>
      </c>
      <c r="E166" s="871">
        <v>142006</v>
      </c>
      <c r="F166" s="871">
        <v>76366</v>
      </c>
      <c r="G166" s="872">
        <v>589636</v>
      </c>
    </row>
    <row r="167" spans="2:8" ht="31.15" customHeight="1" x14ac:dyDescent="0.25">
      <c r="B167" s="891"/>
      <c r="C167" s="891"/>
    </row>
    <row r="174" spans="2:8" ht="16.5" thickBot="1" x14ac:dyDescent="0.3"/>
    <row r="175" spans="2:8" ht="16.5" thickBot="1" x14ac:dyDescent="0.3">
      <c r="B175" s="886" t="s">
        <v>350</v>
      </c>
      <c r="C175" s="887"/>
    </row>
    <row r="176" spans="2:8" x14ac:dyDescent="0.25">
      <c r="B176" s="861" t="s">
        <v>351</v>
      </c>
      <c r="C176" s="876" t="s">
        <v>74</v>
      </c>
    </row>
    <row r="178" spans="2:8" x14ac:dyDescent="0.25">
      <c r="B178" s="840"/>
      <c r="C178" s="849" t="s">
        <v>319</v>
      </c>
      <c r="D178" s="862"/>
      <c r="E178" s="862"/>
      <c r="F178" s="862"/>
      <c r="G178" s="863"/>
      <c r="H178" s="51"/>
    </row>
    <row r="179" spans="2:8" x14ac:dyDescent="0.25">
      <c r="B179" s="837" t="s">
        <v>75</v>
      </c>
      <c r="C179" s="840">
        <v>2012</v>
      </c>
      <c r="D179" s="850">
        <v>2013</v>
      </c>
      <c r="E179" s="850">
        <v>2014</v>
      </c>
      <c r="F179" s="850">
        <v>2015</v>
      </c>
      <c r="G179" s="839" t="s">
        <v>73</v>
      </c>
      <c r="H179" s="51"/>
    </row>
    <row r="180" spans="2:8" x14ac:dyDescent="0.25">
      <c r="B180" s="840" t="s">
        <v>352</v>
      </c>
      <c r="C180" s="864">
        <v>2500</v>
      </c>
      <c r="D180" s="865">
        <v>22000</v>
      </c>
      <c r="E180" s="865">
        <v>0</v>
      </c>
      <c r="F180" s="865">
        <v>1910</v>
      </c>
      <c r="G180" s="866">
        <v>26410</v>
      </c>
      <c r="H180" s="51"/>
    </row>
    <row r="181" spans="2:8" x14ac:dyDescent="0.25">
      <c r="B181" s="842" t="s">
        <v>353</v>
      </c>
      <c r="C181" s="867">
        <v>2500</v>
      </c>
      <c r="D181" s="868">
        <v>8788</v>
      </c>
      <c r="E181" s="868">
        <v>0</v>
      </c>
      <c r="F181" s="868">
        <v>1910</v>
      </c>
      <c r="G181" s="869">
        <v>13198</v>
      </c>
      <c r="H181" s="51"/>
    </row>
    <row r="182" spans="2:8" x14ac:dyDescent="0.25">
      <c r="B182" s="855" t="s">
        <v>354</v>
      </c>
      <c r="C182" s="870">
        <v>2500</v>
      </c>
      <c r="D182" s="871">
        <v>30788</v>
      </c>
      <c r="E182" s="871">
        <v>2483</v>
      </c>
      <c r="F182" s="871">
        <v>2910</v>
      </c>
      <c r="G182" s="872">
        <v>38681</v>
      </c>
    </row>
    <row r="188" spans="2:8" x14ac:dyDescent="0.25">
      <c r="B188" s="51"/>
      <c r="C188" s="51"/>
      <c r="D188" s="51"/>
      <c r="E188" s="51"/>
      <c r="F188" s="51"/>
      <c r="G188" s="51"/>
      <c r="H188" s="51"/>
    </row>
    <row r="189" spans="2:8" x14ac:dyDescent="0.25">
      <c r="B189" s="51"/>
      <c r="C189" s="51"/>
      <c r="D189" s="51"/>
      <c r="E189" s="51"/>
      <c r="F189" s="51"/>
      <c r="G189" s="51"/>
      <c r="H189" s="51"/>
    </row>
    <row r="190" spans="2:8" x14ac:dyDescent="0.25">
      <c r="B190" s="51"/>
      <c r="C190" s="51"/>
      <c r="D190" s="51"/>
      <c r="E190" s="51"/>
      <c r="F190" s="51"/>
      <c r="G190" s="51"/>
      <c r="H190" s="51"/>
    </row>
    <row r="191" spans="2:8" x14ac:dyDescent="0.25">
      <c r="B191" s="51"/>
      <c r="C191" s="51"/>
      <c r="D191" s="51"/>
      <c r="E191" s="51"/>
      <c r="F191" s="51"/>
      <c r="G191" s="51"/>
      <c r="H191" s="51"/>
    </row>
    <row r="192" spans="2:8" x14ac:dyDescent="0.25">
      <c r="B192" s="51"/>
      <c r="C192" s="51"/>
      <c r="D192" s="51"/>
      <c r="E192" s="51"/>
      <c r="F192" s="51"/>
      <c r="G192" s="51"/>
      <c r="H192" s="51"/>
    </row>
    <row r="193" spans="2:8" x14ac:dyDescent="0.25">
      <c r="B193" s="51"/>
      <c r="C193" s="51"/>
      <c r="D193" s="51"/>
      <c r="E193" s="51"/>
      <c r="F193" s="51"/>
      <c r="G193" s="51"/>
      <c r="H193" s="51"/>
    </row>
    <row r="194" spans="2:8" x14ac:dyDescent="0.25">
      <c r="B194" s="51"/>
      <c r="C194" s="51"/>
      <c r="D194" s="51"/>
      <c r="E194" s="51"/>
      <c r="F194" s="51"/>
      <c r="G194" s="51"/>
      <c r="H194" s="51"/>
    </row>
    <row r="195" spans="2:8" x14ac:dyDescent="0.25">
      <c r="B195" s="51"/>
      <c r="C195" s="51"/>
      <c r="D195" s="51"/>
      <c r="E195" s="51"/>
      <c r="F195" s="51"/>
      <c r="G195" s="51"/>
      <c r="H195" s="51"/>
    </row>
    <row r="196" spans="2:8" x14ac:dyDescent="0.25">
      <c r="B196" s="51"/>
      <c r="C196" s="51"/>
      <c r="D196" s="51"/>
      <c r="E196" s="51"/>
      <c r="F196" s="51"/>
      <c r="G196" s="51"/>
      <c r="H196" s="51"/>
    </row>
    <row r="197" spans="2:8" x14ac:dyDescent="0.25">
      <c r="B197" s="51"/>
      <c r="C197" s="51"/>
      <c r="D197" s="51"/>
    </row>
    <row r="198" spans="2:8" x14ac:dyDescent="0.25">
      <c r="B198" s="51"/>
      <c r="C198" s="51"/>
      <c r="D198" s="51"/>
    </row>
    <row r="199" spans="2:8" x14ac:dyDescent="0.25">
      <c r="B199" s="51"/>
      <c r="C199" s="51"/>
      <c r="D199" s="51"/>
    </row>
    <row r="200" spans="2:8" x14ac:dyDescent="0.25">
      <c r="B200" s="51"/>
      <c r="C200" s="51"/>
      <c r="D200" s="51"/>
    </row>
    <row r="201" spans="2:8" x14ac:dyDescent="0.25">
      <c r="B201" s="51"/>
      <c r="C201" s="51"/>
      <c r="D201" s="51"/>
    </row>
    <row r="202" spans="2:8" x14ac:dyDescent="0.25">
      <c r="B202" s="51"/>
      <c r="C202" s="51"/>
      <c r="D202" s="51"/>
    </row>
    <row r="203" spans="2:8" x14ac:dyDescent="0.25">
      <c r="B203" s="51"/>
      <c r="C203" s="51"/>
      <c r="D203" s="51"/>
    </row>
    <row r="204" spans="2:8" x14ac:dyDescent="0.25">
      <c r="B204" s="51"/>
      <c r="C204" s="51"/>
      <c r="D204" s="51"/>
    </row>
    <row r="205" spans="2:8" x14ac:dyDescent="0.25">
      <c r="B205" s="51"/>
      <c r="C205" s="51"/>
      <c r="D205" s="51"/>
    </row>
    <row r="206" spans="2:8" x14ac:dyDescent="0.25">
      <c r="B206" s="51"/>
      <c r="C206" s="51"/>
      <c r="D206" s="51"/>
    </row>
    <row r="207" spans="2:8" x14ac:dyDescent="0.25">
      <c r="B207" s="51"/>
      <c r="C207" s="51"/>
      <c r="D207" s="51"/>
    </row>
  </sheetData>
  <mergeCells count="13">
    <mergeCell ref="B175:C175"/>
    <mergeCell ref="B2:M2"/>
    <mergeCell ref="B5:C5"/>
    <mergeCell ref="B55:C55"/>
    <mergeCell ref="B68:C68"/>
    <mergeCell ref="B100:C100"/>
    <mergeCell ref="B114:C114"/>
    <mergeCell ref="B130:C130"/>
    <mergeCell ref="B146:C146"/>
    <mergeCell ref="B154:C154"/>
    <mergeCell ref="B159:C159"/>
    <mergeCell ref="B167:C167"/>
    <mergeCell ref="B32:C32"/>
  </mergeCells>
  <pageMargins left="0.7" right="0.7" top="0.75" bottom="0.75" header="0.3" footer="0.3"/>
  <pageSetup orientation="portrait" r:id="rId11"/>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1"/>
  <sheetViews>
    <sheetView zoomScaleNormal="100" workbookViewId="0">
      <selection activeCell="B2" sqref="B2:G2"/>
    </sheetView>
  </sheetViews>
  <sheetFormatPr defaultColWidth="8.85546875" defaultRowHeight="15" x14ac:dyDescent="0.25"/>
  <cols>
    <col min="1" max="1" width="4.7109375" style="37" customWidth="1"/>
    <col min="2" max="2" width="33.28515625" style="37" customWidth="1"/>
    <col min="3" max="3" width="27.140625" style="46" customWidth="1"/>
    <col min="4" max="5" width="27.140625" style="37" customWidth="1"/>
    <col min="6" max="6" width="15.85546875" style="37" customWidth="1"/>
    <col min="7" max="7" width="67.7109375" style="37" customWidth="1"/>
    <col min="8" max="16384" width="8.85546875" style="37"/>
  </cols>
  <sheetData>
    <row r="1" spans="2:9" x14ac:dyDescent="0.25">
      <c r="C1" s="37"/>
    </row>
    <row r="2" spans="2:9" ht="44.45" customHeight="1" x14ac:dyDescent="0.25">
      <c r="B2" s="894" t="s">
        <v>424</v>
      </c>
      <c r="C2" s="894"/>
      <c r="D2" s="894"/>
      <c r="E2" s="894"/>
      <c r="F2" s="894"/>
      <c r="G2" s="894"/>
    </row>
    <row r="3" spans="2:9" ht="21" customHeight="1" x14ac:dyDescent="0.25">
      <c r="C3" s="37"/>
    </row>
    <row r="4" spans="2:9" ht="25.15" customHeight="1" x14ac:dyDescent="0.25">
      <c r="B4" s="38" t="s">
        <v>425</v>
      </c>
      <c r="C4" s="39"/>
      <c r="D4" s="39"/>
      <c r="E4" s="39"/>
      <c r="F4" s="39"/>
      <c r="G4" s="38"/>
      <c r="H4" s="40"/>
      <c r="I4" s="40"/>
    </row>
    <row r="5" spans="2:9" ht="15.75" thickBot="1" x14ac:dyDescent="0.3">
      <c r="C5" s="37"/>
    </row>
    <row r="6" spans="2:9" ht="27" customHeight="1" x14ac:dyDescent="0.25">
      <c r="B6" s="895" t="s">
        <v>732</v>
      </c>
      <c r="C6" s="896"/>
      <c r="D6" s="552" t="s">
        <v>709</v>
      </c>
      <c r="E6" s="552" t="s">
        <v>426</v>
      </c>
      <c r="F6" s="553" t="s">
        <v>427</v>
      </c>
      <c r="G6" s="554" t="s">
        <v>428</v>
      </c>
    </row>
    <row r="7" spans="2:9" ht="27" customHeight="1" x14ac:dyDescent="0.25">
      <c r="B7" s="548" t="s">
        <v>438</v>
      </c>
      <c r="C7" s="549">
        <v>42000</v>
      </c>
      <c r="D7" s="549">
        <f>SUMIFS(Database!M5:M490,Database!I5:I490,"GCA",Database!H5:H490,"Camp")</f>
        <v>48538</v>
      </c>
      <c r="E7" s="549">
        <f>SUMIFS(Database!M5:M490,Database!I5:I490,"GCA",Database!H5:H490,"Camp")-SUMIFS(Database!M5:M490,Database!I5:I490,"GCA",Database!H5:H490,"Camp",Database!S5:S490,"None")</f>
        <v>29861</v>
      </c>
      <c r="F7" s="550">
        <f t="shared" ref="F7:F12" si="0">E7/D7</f>
        <v>0.61520870245992831</v>
      </c>
      <c r="G7" s="551" t="s">
        <v>429</v>
      </c>
    </row>
    <row r="8" spans="2:9" ht="27" customHeight="1" x14ac:dyDescent="0.25">
      <c r="B8" s="543" t="s">
        <v>439</v>
      </c>
      <c r="C8" s="41">
        <v>33500</v>
      </c>
      <c r="D8" s="41">
        <f>SUMIFS(Database!M5:M490,Database!I5:I490,"NGCA",Database!H5:H490,"Camp")</f>
        <v>40928</v>
      </c>
      <c r="E8" s="41">
        <f>SUMIFS(Database!M5:M490,Database!I5:I490,"NGCA",Database!H5:H490,"Camp")-SUMIFS(Database!M5:M490,Database!I5:I490,"NGCA",Database!H5:H490,"Camp",Database!S5:S490,"None")</f>
        <v>30315</v>
      </c>
      <c r="F8" s="42">
        <f t="shared" si="0"/>
        <v>0.74069096950742763</v>
      </c>
      <c r="G8" s="544"/>
    </row>
    <row r="9" spans="2:9" ht="27" customHeight="1" x14ac:dyDescent="0.25">
      <c r="B9" s="543" t="s">
        <v>701</v>
      </c>
      <c r="C9" s="41">
        <v>10000</v>
      </c>
      <c r="D9" s="41">
        <f>SUMIFS(Database!M5:M490,Database!H5:H490,"Village")</f>
        <v>5701</v>
      </c>
      <c r="E9" s="41">
        <f>SUMIFS(Database!M5:M490,Database!H5:H490,"Village")-SUMIFS(Database!M5:M490,Database!H5:H490,"Village",Database!S5:S490,"None")</f>
        <v>326</v>
      </c>
      <c r="F9" s="42">
        <f t="shared" si="0"/>
        <v>5.7182950359586038E-2</v>
      </c>
      <c r="G9" s="544"/>
    </row>
    <row r="10" spans="2:9" ht="27" customHeight="1" x14ac:dyDescent="0.25">
      <c r="B10" s="543" t="s">
        <v>441</v>
      </c>
      <c r="C10" s="41">
        <v>20000</v>
      </c>
      <c r="D10" s="41">
        <v>20000</v>
      </c>
      <c r="E10" s="58">
        <v>4000</v>
      </c>
      <c r="F10" s="42">
        <f t="shared" si="0"/>
        <v>0.2</v>
      </c>
      <c r="G10" s="545" t="s">
        <v>702</v>
      </c>
    </row>
    <row r="11" spans="2:9" ht="27" customHeight="1" x14ac:dyDescent="0.25">
      <c r="B11" s="543" t="s">
        <v>440</v>
      </c>
      <c r="C11" s="41">
        <v>10000</v>
      </c>
      <c r="D11" s="41">
        <v>10000</v>
      </c>
      <c r="E11" s="43">
        <f>SUMIFS(Database!M5:M490,Database!H5:H490,"School")-SUMIFS(Database!M5:M490,Database!H5:H490,"School",Database!S5:S490,"None")</f>
        <v>154</v>
      </c>
      <c r="F11" s="42">
        <f t="shared" si="0"/>
        <v>1.54E-2</v>
      </c>
      <c r="G11" s="546"/>
    </row>
    <row r="12" spans="2:9" ht="27" customHeight="1" thickBot="1" x14ac:dyDescent="0.3">
      <c r="B12" s="583" t="s">
        <v>2</v>
      </c>
      <c r="C12" s="584">
        <f>SUM(C7:C11)</f>
        <v>115500</v>
      </c>
      <c r="D12" s="584">
        <f t="shared" ref="D12:E12" si="1">SUM(D7:D11)</f>
        <v>125167</v>
      </c>
      <c r="E12" s="585">
        <f t="shared" si="1"/>
        <v>64656</v>
      </c>
      <c r="F12" s="586">
        <f t="shared" si="0"/>
        <v>0.51655787867409142</v>
      </c>
      <c r="G12" s="547"/>
    </row>
    <row r="13" spans="2:9" x14ac:dyDescent="0.25">
      <c r="C13" s="44"/>
    </row>
    <row r="14" spans="2:9" x14ac:dyDescent="0.25">
      <c r="C14" s="44"/>
    </row>
    <row r="15" spans="2:9" ht="28.15" customHeight="1" x14ac:dyDescent="0.25">
      <c r="B15" s="38" t="s">
        <v>430</v>
      </c>
      <c r="C15" s="39"/>
      <c r="D15" s="39"/>
      <c r="E15" s="39"/>
      <c r="F15" s="39"/>
      <c r="G15" s="38"/>
      <c r="H15" s="45"/>
      <c r="I15" s="45"/>
    </row>
    <row r="16" spans="2:9" ht="15.75" thickBot="1" x14ac:dyDescent="0.3">
      <c r="C16" s="44"/>
    </row>
    <row r="17" spans="2:7" ht="58.9" customHeight="1" x14ac:dyDescent="0.25">
      <c r="B17" s="557" t="s">
        <v>431</v>
      </c>
      <c r="C17" s="558" t="s">
        <v>432</v>
      </c>
      <c r="D17" s="552" t="s">
        <v>433</v>
      </c>
      <c r="E17" s="559" t="s">
        <v>737</v>
      </c>
      <c r="F17" s="559" t="s">
        <v>434</v>
      </c>
      <c r="G17" s="554" t="s">
        <v>428</v>
      </c>
    </row>
    <row r="18" spans="2:7" ht="50.25" customHeight="1" x14ac:dyDescent="0.25">
      <c r="B18" s="560" t="s">
        <v>728</v>
      </c>
      <c r="C18" s="570">
        <f>SUM(C19:C22)</f>
        <v>125167</v>
      </c>
      <c r="D18" s="570">
        <f>SUM(D19:D22)</f>
        <v>86214.986666666664</v>
      </c>
      <c r="E18" s="561">
        <f>D18/C18</f>
        <v>0.68879965699159251</v>
      </c>
      <c r="F18" s="562"/>
      <c r="G18" s="563"/>
    </row>
    <row r="19" spans="2:7" ht="31.5" customHeight="1" x14ac:dyDescent="0.25">
      <c r="B19" s="564" t="s">
        <v>733</v>
      </c>
      <c r="C19" s="571">
        <f>SUMIFS(Database!M5:M490,Database!I5:I490,"GCA")-SUMIFS(Database!M5:M490,Database!H5:H490,"School",Database!I5:I490,"GCA")</f>
        <v>52547</v>
      </c>
      <c r="D19" s="571">
        <f>SUMIFS(Database!AM5:AM490,Database!I5:I490,"GCA")-SUMIFS(Database!AM5:AM490,Database!H5:H490,"School",Database!I5:I490,"GCA")</f>
        <v>45168.666666666672</v>
      </c>
      <c r="E19" s="262">
        <f t="shared" ref="E19:E22" si="2">D19/C19</f>
        <v>0.85958602140306151</v>
      </c>
      <c r="F19" s="263" t="s">
        <v>435</v>
      </c>
      <c r="G19" s="555"/>
    </row>
    <row r="20" spans="2:7" ht="31.5" customHeight="1" x14ac:dyDescent="0.25">
      <c r="B20" s="578" t="s">
        <v>734</v>
      </c>
      <c r="C20" s="579">
        <f>SUMIFS(Database!M5:M490,Database!I5:I490,"NGCA")-SUMIFS(Database!M5:M490,Database!H5:H490,"School",Database!I5:I490,"NGCA")</f>
        <v>42620</v>
      </c>
      <c r="D20" s="579">
        <f>SUMIFS(Database!AM5:AM490,Database!I5:I490,"NGCA")-SUMIFS(Database!AM5:AM490,Database!H5:H490,"School",Database!I5:I490,"NGCA")</f>
        <v>34762.32</v>
      </c>
      <c r="E20" s="580">
        <f t="shared" si="2"/>
        <v>0.81563397465978416</v>
      </c>
      <c r="F20" s="581" t="s">
        <v>435</v>
      </c>
      <c r="G20" s="582"/>
    </row>
    <row r="21" spans="2:7" ht="31.5" customHeight="1" x14ac:dyDescent="0.25">
      <c r="B21" s="578" t="s">
        <v>440</v>
      </c>
      <c r="C21" s="579">
        <f>D11</f>
        <v>10000</v>
      </c>
      <c r="D21" s="579">
        <f>SUMIFS(Database!AM5:AM490,Database!H5:H490,"School")</f>
        <v>2284</v>
      </c>
      <c r="E21" s="580">
        <f t="shared" si="2"/>
        <v>0.22839999999999999</v>
      </c>
      <c r="F21" s="581" t="s">
        <v>735</v>
      </c>
      <c r="G21" s="582"/>
    </row>
    <row r="22" spans="2:7" ht="31.5" customHeight="1" thickBot="1" x14ac:dyDescent="0.3">
      <c r="B22" s="573" t="s">
        <v>731</v>
      </c>
      <c r="C22" s="574">
        <f>D10</f>
        <v>20000</v>
      </c>
      <c r="D22" s="574">
        <f>E10</f>
        <v>4000</v>
      </c>
      <c r="E22" s="575">
        <f t="shared" si="2"/>
        <v>0.2</v>
      </c>
      <c r="F22" s="576" t="s">
        <v>736</v>
      </c>
      <c r="G22" s="577"/>
    </row>
    <row r="24" spans="2:7" ht="15.75" thickBot="1" x14ac:dyDescent="0.3"/>
    <row r="25" spans="2:7" ht="27.6" customHeight="1" x14ac:dyDescent="0.25">
      <c r="B25" s="565" t="s">
        <v>436</v>
      </c>
      <c r="C25" s="566" t="s">
        <v>432</v>
      </c>
      <c r="D25" s="567" t="s">
        <v>433</v>
      </c>
      <c r="E25" s="568" t="s">
        <v>738</v>
      </c>
      <c r="F25" s="568" t="s">
        <v>434</v>
      </c>
      <c r="G25" s="569" t="s">
        <v>428</v>
      </c>
    </row>
    <row r="26" spans="2:7" ht="67.150000000000006" customHeight="1" x14ac:dyDescent="0.25">
      <c r="B26" s="560" t="s">
        <v>729</v>
      </c>
      <c r="C26" s="570">
        <f>SUM(C27:C30)</f>
        <v>125167</v>
      </c>
      <c r="D26" s="570">
        <f>SUM(D27:D30)</f>
        <v>80565</v>
      </c>
      <c r="E26" s="561">
        <f>D26/C26</f>
        <v>0.64366007014628457</v>
      </c>
      <c r="F26" s="562"/>
      <c r="G26" s="563"/>
    </row>
    <row r="27" spans="2:7" ht="31.5" customHeight="1" x14ac:dyDescent="0.25">
      <c r="B27" s="564" t="s">
        <v>733</v>
      </c>
      <c r="C27" s="571">
        <f>SUMIFS(Database!M5:M490,Database!I5:I490,"GCA")-SUMIFS(Database!M5:M490,Database!H5:H490,"School",Database!I5:I490,"GCA")</f>
        <v>52547</v>
      </c>
      <c r="D27" s="571">
        <f>SUMIFS(Database!BD5:BD490,Database!I5:I490,"GCA")-SUMIFS(Database!BD5:BD490,Database!H5:H490,"School",Database!I5:I490,"GCA")</f>
        <v>39942</v>
      </c>
      <c r="E27" s="262">
        <f t="shared" ref="E27:E30" si="3">D27/C27</f>
        <v>0.7601195120558738</v>
      </c>
      <c r="F27" s="263" t="s">
        <v>435</v>
      </c>
      <c r="G27" s="555"/>
    </row>
    <row r="28" spans="2:7" ht="31.5" customHeight="1" x14ac:dyDescent="0.25">
      <c r="B28" s="578" t="s">
        <v>734</v>
      </c>
      <c r="C28" s="579">
        <f>SUMIFS(Database!M5:M490,Database!I5:I490,"NGCA")-SUMIFS(Database!M5:M490,Database!H5:H490,"School",Database!I5:I490,"NGCA")</f>
        <v>42620</v>
      </c>
      <c r="D28" s="579">
        <f>SUMIFS(Database!BD5:BD490,Database!I5:I490,"NGCA")-SUMIFS(Database!BD5:BD490,Database!H5:H490,"School",Database!I5:I490,"NGCA")</f>
        <v>34842</v>
      </c>
      <c r="E28" s="580">
        <f t="shared" si="3"/>
        <v>0.81750351947442512</v>
      </c>
      <c r="F28" s="581" t="s">
        <v>435</v>
      </c>
      <c r="G28" s="582"/>
    </row>
    <row r="29" spans="2:7" ht="31.5" customHeight="1" x14ac:dyDescent="0.25">
      <c r="B29" s="578" t="s">
        <v>440</v>
      </c>
      <c r="C29" s="579">
        <f>D11</f>
        <v>10000</v>
      </c>
      <c r="D29" s="579">
        <f>SUMIFS(Database!BD5:BD490,Database!H5:H490,"School")</f>
        <v>1781</v>
      </c>
      <c r="E29" s="580">
        <f t="shared" si="3"/>
        <v>0.17810000000000001</v>
      </c>
      <c r="F29" s="581" t="s">
        <v>735</v>
      </c>
      <c r="G29" s="582"/>
    </row>
    <row r="30" spans="2:7" ht="31.5" customHeight="1" thickBot="1" x14ac:dyDescent="0.3">
      <c r="B30" s="573" t="s">
        <v>731</v>
      </c>
      <c r="C30" s="574">
        <f>D10</f>
        <v>20000</v>
      </c>
      <c r="D30" s="574">
        <f>E10</f>
        <v>4000</v>
      </c>
      <c r="E30" s="575">
        <f t="shared" si="3"/>
        <v>0.2</v>
      </c>
      <c r="F30" s="576" t="s">
        <v>736</v>
      </c>
      <c r="G30" s="577"/>
    </row>
    <row r="32" spans="2:7" ht="15.75" thickBot="1" x14ac:dyDescent="0.3"/>
    <row r="33" spans="2:9" ht="27.6" customHeight="1" x14ac:dyDescent="0.25">
      <c r="B33" s="565" t="s">
        <v>437</v>
      </c>
      <c r="C33" s="566" t="s">
        <v>432</v>
      </c>
      <c r="D33" s="567" t="s">
        <v>433</v>
      </c>
      <c r="E33" s="568" t="s">
        <v>738</v>
      </c>
      <c r="F33" s="568" t="s">
        <v>434</v>
      </c>
      <c r="G33" s="569" t="s">
        <v>428</v>
      </c>
    </row>
    <row r="34" spans="2:9" ht="67.150000000000006" customHeight="1" x14ac:dyDescent="0.25">
      <c r="B34" s="560" t="s">
        <v>730</v>
      </c>
      <c r="C34" s="570">
        <f>SUM(C35:C38)</f>
        <v>125167</v>
      </c>
      <c r="D34" s="570">
        <f>SUM(D35:D38)</f>
        <v>56902.52</v>
      </c>
      <c r="E34" s="561">
        <f>D34/C34</f>
        <v>0.45461279730280341</v>
      </c>
      <c r="F34" s="562" t="s">
        <v>435</v>
      </c>
      <c r="G34" s="563"/>
    </row>
    <row r="35" spans="2:9" ht="31.5" customHeight="1" x14ac:dyDescent="0.25">
      <c r="B35" s="564" t="s">
        <v>733</v>
      </c>
      <c r="C35" s="571">
        <f>SUMIFS(Database!M5:M490,Database!I5:I490,"GCA")-SUMIFS(Database!M5:M490,Database!H5:H490,"School",Database!I5:I490,"GCA")</f>
        <v>52547</v>
      </c>
      <c r="D35" s="571">
        <f>D7*E35</f>
        <v>31064.32</v>
      </c>
      <c r="E35" s="262">
        <v>0.64</v>
      </c>
      <c r="F35" s="263" t="s">
        <v>435</v>
      </c>
      <c r="G35" s="555" t="s">
        <v>739</v>
      </c>
    </row>
    <row r="36" spans="2:9" ht="31.5" customHeight="1" x14ac:dyDescent="0.25">
      <c r="B36" s="578" t="s">
        <v>734</v>
      </c>
      <c r="C36" s="579">
        <f>SUMIFS(Database!M5:M490,Database!I5:I490,"NGCA")-SUMIFS(Database!M5:M490,Database!H5:H490,"School",Database!I5:I490,"NGCA")</f>
        <v>42620</v>
      </c>
      <c r="D36" s="571">
        <f>D8*E36</f>
        <v>18417.600000000002</v>
      </c>
      <c r="E36" s="580">
        <v>0.45</v>
      </c>
      <c r="F36" s="581" t="s">
        <v>435</v>
      </c>
      <c r="G36" s="582" t="s">
        <v>773</v>
      </c>
    </row>
    <row r="37" spans="2:9" ht="31.5" customHeight="1" x14ac:dyDescent="0.25">
      <c r="B37" s="578" t="s">
        <v>440</v>
      </c>
      <c r="C37" s="579">
        <f>D11</f>
        <v>10000</v>
      </c>
      <c r="D37" s="571">
        <f>D9*E37</f>
        <v>3420.6</v>
      </c>
      <c r="E37" s="580">
        <v>0.6</v>
      </c>
      <c r="F37" s="581" t="s">
        <v>735</v>
      </c>
      <c r="G37" s="582" t="s">
        <v>773</v>
      </c>
    </row>
    <row r="38" spans="2:9" ht="31.5" customHeight="1" thickBot="1" x14ac:dyDescent="0.3">
      <c r="B38" s="573" t="s">
        <v>731</v>
      </c>
      <c r="C38" s="574">
        <f>D10</f>
        <v>20000</v>
      </c>
      <c r="D38" s="574">
        <f>E10</f>
        <v>4000</v>
      </c>
      <c r="E38" s="575">
        <f t="shared" ref="E38" si="4">D38/C38</f>
        <v>0.2</v>
      </c>
      <c r="F38" s="576" t="s">
        <v>736</v>
      </c>
      <c r="G38" s="577"/>
    </row>
    <row r="39" spans="2:9" x14ac:dyDescent="0.25">
      <c r="F39" s="47"/>
    </row>
    <row r="40" spans="2:9" x14ac:dyDescent="0.25">
      <c r="F40" s="47"/>
    </row>
    <row r="41" spans="2:9" ht="21" x14ac:dyDescent="0.25">
      <c r="G41" s="897"/>
      <c r="H41" s="898"/>
      <c r="I41" s="898"/>
    </row>
    <row r="42" spans="2:9" s="285" customFormat="1" ht="25.15" customHeight="1" x14ac:dyDescent="0.25">
      <c r="B42" s="286" t="s">
        <v>665</v>
      </c>
      <c r="C42" s="287"/>
      <c r="D42" s="287"/>
      <c r="E42" s="287"/>
      <c r="F42" s="287"/>
      <c r="G42" s="286"/>
      <c r="H42" s="288"/>
      <c r="I42" s="288"/>
    </row>
    <row r="45" spans="2:9" x14ac:dyDescent="0.25">
      <c r="B45" s="289" t="s">
        <v>666</v>
      </c>
      <c r="C45" s="290"/>
      <c r="D45" s="291" t="s">
        <v>667</v>
      </c>
    </row>
    <row r="46" spans="2:9" x14ac:dyDescent="0.25">
      <c r="B46" s="292" t="s">
        <v>668</v>
      </c>
      <c r="C46" s="293">
        <f>F12</f>
        <v>0.51655787867409142</v>
      </c>
      <c r="D46" s="294">
        <v>0.4</v>
      </c>
    </row>
    <row r="47" spans="2:9" x14ac:dyDescent="0.25">
      <c r="B47" s="295" t="s">
        <v>669</v>
      </c>
      <c r="C47" s="296">
        <f>1-C46</f>
        <v>0.48344212132590858</v>
      </c>
      <c r="D47" s="297">
        <v>0.3</v>
      </c>
    </row>
    <row r="48" spans="2:9" x14ac:dyDescent="0.25">
      <c r="B48" s="295" t="s">
        <v>667</v>
      </c>
      <c r="C48" s="296">
        <v>0.5</v>
      </c>
      <c r="D48" s="297">
        <v>0.3</v>
      </c>
    </row>
    <row r="49" spans="2:4" x14ac:dyDescent="0.25">
      <c r="B49" s="298" t="s">
        <v>667</v>
      </c>
      <c r="C49" s="299">
        <v>0.5</v>
      </c>
      <c r="D49" s="300">
        <v>1</v>
      </c>
    </row>
    <row r="53" spans="2:4" x14ac:dyDescent="0.25">
      <c r="B53" s="289" t="s">
        <v>670</v>
      </c>
      <c r="C53" s="290"/>
      <c r="D53" s="308" t="s">
        <v>601</v>
      </c>
    </row>
    <row r="54" spans="2:4" x14ac:dyDescent="0.25">
      <c r="B54" s="292" t="s">
        <v>668</v>
      </c>
      <c r="C54" s="293">
        <f>E18</f>
        <v>0.68879965699159251</v>
      </c>
      <c r="D54" s="307">
        <f>D18</f>
        <v>86214.986666666664</v>
      </c>
    </row>
    <row r="55" spans="2:4" x14ac:dyDescent="0.25">
      <c r="B55" s="295" t="s">
        <v>669</v>
      </c>
      <c r="C55" s="296">
        <f>1-C54</f>
        <v>0.31120034300840749</v>
      </c>
      <c r="D55" s="305"/>
    </row>
    <row r="56" spans="2:4" x14ac:dyDescent="0.25">
      <c r="B56" s="295" t="s">
        <v>667</v>
      </c>
      <c r="C56" s="296">
        <v>0.5</v>
      </c>
      <c r="D56" s="305"/>
    </row>
    <row r="57" spans="2:4" x14ac:dyDescent="0.25">
      <c r="B57" s="298" t="s">
        <v>667</v>
      </c>
      <c r="C57" s="299">
        <v>0.5</v>
      </c>
      <c r="D57" s="306"/>
    </row>
    <row r="58" spans="2:4" x14ac:dyDescent="0.25">
      <c r="D58" s="304"/>
    </row>
    <row r="59" spans="2:4" x14ac:dyDescent="0.25">
      <c r="D59" s="304"/>
    </row>
    <row r="60" spans="2:4" x14ac:dyDescent="0.25">
      <c r="B60" s="289" t="s">
        <v>671</v>
      </c>
      <c r="C60" s="290"/>
      <c r="D60" s="308" t="s">
        <v>601</v>
      </c>
    </row>
    <row r="61" spans="2:4" x14ac:dyDescent="0.25">
      <c r="B61" s="292" t="s">
        <v>668</v>
      </c>
      <c r="C61" s="301">
        <f>E26</f>
        <v>0.64366007014628457</v>
      </c>
      <c r="D61" s="307">
        <f>D26</f>
        <v>80565</v>
      </c>
    </row>
    <row r="62" spans="2:4" x14ac:dyDescent="0.25">
      <c r="B62" s="295" t="s">
        <v>669</v>
      </c>
      <c r="C62" s="302">
        <f>1-C61</f>
        <v>0.35633992985371543</v>
      </c>
      <c r="D62" s="305"/>
    </row>
    <row r="63" spans="2:4" x14ac:dyDescent="0.25">
      <c r="B63" s="295" t="s">
        <v>667</v>
      </c>
      <c r="C63" s="302">
        <v>0.5</v>
      </c>
      <c r="D63" s="305"/>
    </row>
    <row r="64" spans="2:4" x14ac:dyDescent="0.25">
      <c r="B64" s="298" t="s">
        <v>667</v>
      </c>
      <c r="C64" s="303">
        <v>0.5</v>
      </c>
      <c r="D64" s="306"/>
    </row>
    <row r="65" spans="2:4" x14ac:dyDescent="0.25">
      <c r="D65" s="304"/>
    </row>
    <row r="66" spans="2:4" x14ac:dyDescent="0.25">
      <c r="D66" s="304"/>
    </row>
    <row r="67" spans="2:4" x14ac:dyDescent="0.25">
      <c r="B67" s="289" t="s">
        <v>727</v>
      </c>
      <c r="C67" s="290"/>
      <c r="D67" s="308" t="s">
        <v>601</v>
      </c>
    </row>
    <row r="68" spans="2:4" x14ac:dyDescent="0.25">
      <c r="B68" s="292" t="s">
        <v>668</v>
      </c>
      <c r="C68" s="301">
        <f>E34</f>
        <v>0.45461279730280341</v>
      </c>
      <c r="D68" s="307">
        <f>D34</f>
        <v>56902.52</v>
      </c>
    </row>
    <row r="69" spans="2:4" x14ac:dyDescent="0.25">
      <c r="B69" s="295" t="s">
        <v>669</v>
      </c>
      <c r="C69" s="302">
        <f>1-C68</f>
        <v>0.54538720269719665</v>
      </c>
      <c r="D69" s="305"/>
    </row>
    <row r="70" spans="2:4" x14ac:dyDescent="0.25">
      <c r="B70" s="295" t="s">
        <v>667</v>
      </c>
      <c r="C70" s="302">
        <v>0.5</v>
      </c>
      <c r="D70" s="305"/>
    </row>
    <row r="71" spans="2:4" x14ac:dyDescent="0.25">
      <c r="B71" s="298" t="s">
        <v>667</v>
      </c>
      <c r="C71" s="303">
        <v>0.5</v>
      </c>
      <c r="D71" s="306"/>
    </row>
  </sheetData>
  <mergeCells count="3">
    <mergeCell ref="B2:G2"/>
    <mergeCell ref="B6:C6"/>
    <mergeCell ref="G41:I4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L41"/>
  <sheetViews>
    <sheetView topLeftCell="D23" zoomScale="80" zoomScaleNormal="80" workbookViewId="0">
      <selection activeCell="D27" sqref="D27"/>
    </sheetView>
  </sheetViews>
  <sheetFormatPr defaultColWidth="8.85546875" defaultRowHeight="15" x14ac:dyDescent="0.25"/>
  <cols>
    <col min="1" max="1" width="3.7109375" style="37" customWidth="1"/>
    <col min="2" max="2" width="33.28515625" style="37" customWidth="1"/>
    <col min="3" max="3" width="23.42578125" style="46" customWidth="1"/>
    <col min="4" max="8" width="21.5703125" style="37" customWidth="1"/>
    <col min="9" max="9" width="12.42578125" style="37" customWidth="1"/>
    <col min="10" max="10" width="67.7109375" style="37" customWidth="1"/>
    <col min="11" max="16384" width="8.85546875" style="37"/>
  </cols>
  <sheetData>
    <row r="1" spans="2:12" x14ac:dyDescent="0.25">
      <c r="C1" s="37"/>
    </row>
    <row r="2" spans="2:12" ht="44.45" customHeight="1" x14ac:dyDescent="0.25">
      <c r="B2" s="894" t="s">
        <v>740</v>
      </c>
      <c r="C2" s="894"/>
      <c r="D2" s="894"/>
      <c r="E2" s="894"/>
      <c r="F2" s="894"/>
      <c r="G2" s="894"/>
      <c r="H2" s="894"/>
      <c r="I2" s="894"/>
      <c r="J2" s="894"/>
    </row>
    <row r="3" spans="2:12" ht="21" customHeight="1" x14ac:dyDescent="0.25">
      <c r="C3" s="37"/>
    </row>
    <row r="4" spans="2:12" ht="25.15" customHeight="1" x14ac:dyDescent="0.25">
      <c r="B4" s="38" t="s">
        <v>425</v>
      </c>
      <c r="C4" s="39"/>
      <c r="D4" s="39"/>
      <c r="E4" s="39"/>
      <c r="F4" s="39"/>
      <c r="G4" s="39"/>
      <c r="H4" s="39"/>
      <c r="I4" s="39"/>
      <c r="J4" s="38"/>
      <c r="K4" s="40"/>
      <c r="L4" s="40"/>
    </row>
    <row r="5" spans="2:12" ht="15.75" thickBot="1" x14ac:dyDescent="0.3">
      <c r="C5" s="37"/>
    </row>
    <row r="6" spans="2:12" ht="63.75" customHeight="1" thickBot="1" x14ac:dyDescent="0.3">
      <c r="B6" s="899" t="s">
        <v>741</v>
      </c>
      <c r="C6" s="900"/>
      <c r="D6" s="676" t="s">
        <v>876</v>
      </c>
      <c r="E6" s="677" t="s">
        <v>877</v>
      </c>
      <c r="F6" s="678" t="s">
        <v>878</v>
      </c>
      <c r="G6" s="677" t="s">
        <v>879</v>
      </c>
      <c r="H6" s="677" t="s">
        <v>880</v>
      </c>
      <c r="I6" s="677" t="s">
        <v>434</v>
      </c>
      <c r="J6" s="680" t="s">
        <v>428</v>
      </c>
    </row>
    <row r="7" spans="2:12" ht="33.75" customHeight="1" x14ac:dyDescent="0.25">
      <c r="B7" s="684" t="s">
        <v>2</v>
      </c>
      <c r="C7" s="685">
        <v>40000</v>
      </c>
      <c r="D7" s="673">
        <f>SUM(D8:D12)</f>
        <v>10107</v>
      </c>
      <c r="E7" s="697">
        <f>SUM(E8:E12)</f>
        <v>0</v>
      </c>
      <c r="F7" s="674">
        <f>SUM(D7:E7)</f>
        <v>10107</v>
      </c>
      <c r="G7" s="681">
        <f>D7/C7</f>
        <v>0.25267499999999998</v>
      </c>
      <c r="H7" s="675">
        <f>F7/C7</f>
        <v>0.25267499999999998</v>
      </c>
      <c r="I7" s="683" t="s">
        <v>881</v>
      </c>
      <c r="J7" s="679"/>
    </row>
    <row r="8" spans="2:12" ht="27" customHeight="1" x14ac:dyDescent="0.25">
      <c r="B8" s="901" t="s">
        <v>438</v>
      </c>
      <c r="C8" s="902"/>
      <c r="D8" s="549">
        <f>SUMIFS(Database!M5:M490,Database!I5:I490,"GCA",Database!H5:H490,"Camp",Database!Q5:Q490,"UNICEF")</f>
        <v>4043</v>
      </c>
      <c r="E8" s="693"/>
      <c r="F8" s="671">
        <f>SUM(D8:E8)</f>
        <v>4043</v>
      </c>
      <c r="G8" s="672" t="s">
        <v>742</v>
      </c>
      <c r="H8" s="672" t="s">
        <v>742</v>
      </c>
      <c r="I8" s="672"/>
      <c r="J8" s="551"/>
    </row>
    <row r="9" spans="2:12" ht="27" customHeight="1" x14ac:dyDescent="0.25">
      <c r="B9" s="903" t="s">
        <v>439</v>
      </c>
      <c r="C9" s="904"/>
      <c r="D9" s="41">
        <f>SUMIFS(Database!M5:M490,Database!I5:I490,"NGCA",Database!H5:H490,"Camp",Database!Q5:Q490,"UNICEF")</f>
        <v>5738</v>
      </c>
      <c r="E9" s="694"/>
      <c r="F9" s="587">
        <f>SUM(D9:E9)</f>
        <v>5738</v>
      </c>
      <c r="G9" s="672" t="s">
        <v>742</v>
      </c>
      <c r="H9" s="672" t="s">
        <v>742</v>
      </c>
      <c r="I9" s="589"/>
      <c r="J9" s="544"/>
    </row>
    <row r="10" spans="2:12" ht="27" customHeight="1" x14ac:dyDescent="0.25">
      <c r="B10" s="903" t="s">
        <v>701</v>
      </c>
      <c r="C10" s="904"/>
      <c r="D10" s="41">
        <f>SUMIFS(Database!M5:M490,Database!H5:H490,"Village",Database!Q5:Q490,"UNICEF")</f>
        <v>326</v>
      </c>
      <c r="E10" s="694"/>
      <c r="F10" s="587">
        <f t="shared" ref="F10:F12" si="0">SUM(D10:E10)</f>
        <v>326</v>
      </c>
      <c r="G10" s="672" t="s">
        <v>742</v>
      </c>
      <c r="H10" s="672" t="s">
        <v>742</v>
      </c>
      <c r="I10" s="589"/>
      <c r="J10" s="544"/>
    </row>
    <row r="11" spans="2:12" ht="27" customHeight="1" x14ac:dyDescent="0.25">
      <c r="B11" s="903" t="s">
        <v>441</v>
      </c>
      <c r="C11" s="904"/>
      <c r="D11" s="41">
        <v>0</v>
      </c>
      <c r="E11" s="695"/>
      <c r="F11" s="588">
        <f>SUM(D11:E11)</f>
        <v>0</v>
      </c>
      <c r="G11" s="672" t="s">
        <v>742</v>
      </c>
      <c r="H11" s="672" t="s">
        <v>742</v>
      </c>
      <c r="I11" s="589"/>
      <c r="J11" s="545"/>
    </row>
    <row r="12" spans="2:12" ht="27" customHeight="1" thickBot="1" x14ac:dyDescent="0.3">
      <c r="B12" s="905" t="s">
        <v>440</v>
      </c>
      <c r="C12" s="906"/>
      <c r="D12" s="667">
        <f>SUMIFS(Database!M5:M490,Database!H5:H490,"School",Database!Q5:Q490,"UNICEF")</f>
        <v>0</v>
      </c>
      <c r="E12" s="696"/>
      <c r="F12" s="668">
        <f t="shared" si="0"/>
        <v>0</v>
      </c>
      <c r="G12" s="669" t="s">
        <v>742</v>
      </c>
      <c r="H12" s="682" t="s">
        <v>742</v>
      </c>
      <c r="I12" s="669"/>
      <c r="J12" s="670"/>
    </row>
    <row r="13" spans="2:12" x14ac:dyDescent="0.25">
      <c r="C13" s="44"/>
    </row>
    <row r="14" spans="2:12" x14ac:dyDescent="0.25">
      <c r="C14" s="44"/>
    </row>
    <row r="15" spans="2:12" ht="28.15" customHeight="1" x14ac:dyDescent="0.25">
      <c r="B15" s="38" t="s">
        <v>430</v>
      </c>
      <c r="C15" s="39"/>
      <c r="D15" s="39"/>
      <c r="E15" s="39"/>
      <c r="F15" s="39"/>
      <c r="G15" s="39"/>
      <c r="H15" s="39"/>
      <c r="I15" s="39"/>
      <c r="J15" s="38"/>
      <c r="K15" s="45"/>
      <c r="L15" s="45"/>
    </row>
    <row r="16" spans="2:12" ht="15.75" thickBot="1" x14ac:dyDescent="0.3">
      <c r="C16" s="44"/>
    </row>
    <row r="17" spans="2:10" ht="58.9" customHeight="1" thickBot="1" x14ac:dyDescent="0.3">
      <c r="B17" s="689" t="s">
        <v>431</v>
      </c>
      <c r="C17" s="690" t="s">
        <v>432</v>
      </c>
      <c r="D17" s="676" t="s">
        <v>876</v>
      </c>
      <c r="E17" s="677" t="s">
        <v>877</v>
      </c>
      <c r="F17" s="678" t="s">
        <v>878</v>
      </c>
      <c r="G17" s="677" t="s">
        <v>879</v>
      </c>
      <c r="H17" s="677" t="s">
        <v>880</v>
      </c>
      <c r="I17" s="677" t="s">
        <v>434</v>
      </c>
      <c r="J17" s="680" t="s">
        <v>428</v>
      </c>
    </row>
    <row r="18" spans="2:10" ht="67.150000000000006" customHeight="1" x14ac:dyDescent="0.25">
      <c r="B18" s="687" t="s">
        <v>728</v>
      </c>
      <c r="C18" s="688">
        <f>C7</f>
        <v>40000</v>
      </c>
      <c r="D18" s="570">
        <f>SUM(D19:D22)</f>
        <v>8151.333333333333</v>
      </c>
      <c r="E18" s="698">
        <f>SUM(E19:E22)</f>
        <v>0</v>
      </c>
      <c r="F18" s="570">
        <f>SUM(F19:F22)</f>
        <v>8151.333333333333</v>
      </c>
      <c r="G18" s="561">
        <f>D18/C18</f>
        <v>0.20378333333333332</v>
      </c>
      <c r="H18" s="561">
        <f>F18/C18</f>
        <v>0.20378333333333332</v>
      </c>
      <c r="I18" s="562" t="s">
        <v>435</v>
      </c>
      <c r="J18" s="686"/>
    </row>
    <row r="19" spans="2:10" ht="26.25" customHeight="1" x14ac:dyDescent="0.25">
      <c r="B19" s="564" t="s">
        <v>733</v>
      </c>
      <c r="C19" s="571" t="s">
        <v>742</v>
      </c>
      <c r="D19" s="591">
        <f>SUMIFS(Database!AM5:AM490,Database!I5:I490,"GCA",Database!Q5:Q490,"UNICEF")-SUMIFS(Database!AM5:AM490,Database!H5:H490,"School",Database!I5:I490,"GCA",Database!Q5:Q490,"UNICEF")</f>
        <v>3011.333333333333</v>
      </c>
      <c r="E19" s="699"/>
      <c r="F19" s="591">
        <f>D19+E19</f>
        <v>3011.333333333333</v>
      </c>
      <c r="G19" s="672" t="s">
        <v>742</v>
      </c>
      <c r="H19" s="672" t="s">
        <v>742</v>
      </c>
      <c r="I19" s="592" t="s">
        <v>435</v>
      </c>
      <c r="J19" s="593"/>
    </row>
    <row r="20" spans="2:10" ht="26.25" customHeight="1" x14ac:dyDescent="0.25">
      <c r="B20" s="578" t="s">
        <v>734</v>
      </c>
      <c r="C20" s="579" t="s">
        <v>742</v>
      </c>
      <c r="D20" s="579">
        <f>SUMIFS(Database!AM5:AM490,Database!I5:I490,"NGCA",Database!Q5:Q490,"UNICEF")-SUMIFS(Database!AM5:AM490,Database!H5:H490,"School",Database!I5:I490,"NGCA",Database!Q5:Q490,"UNICEF")</f>
        <v>4090</v>
      </c>
      <c r="E20" s="700"/>
      <c r="F20" s="579">
        <f t="shared" ref="F20:F22" si="1">D20+E20</f>
        <v>4090</v>
      </c>
      <c r="G20" s="672" t="s">
        <v>742</v>
      </c>
      <c r="H20" s="672" t="s">
        <v>742</v>
      </c>
      <c r="I20" s="581" t="s">
        <v>435</v>
      </c>
      <c r="J20" s="590"/>
    </row>
    <row r="21" spans="2:10" ht="26.25" customHeight="1" x14ac:dyDescent="0.25">
      <c r="B21" s="578" t="s">
        <v>440</v>
      </c>
      <c r="C21" s="579" t="s">
        <v>742</v>
      </c>
      <c r="D21" s="579">
        <f>SUMIFS(Database!AM5:AM490,Database!H5:H490,"School",Database!Q5:Q490,"UNICEF")</f>
        <v>1050</v>
      </c>
      <c r="E21" s="700"/>
      <c r="F21" s="579">
        <f t="shared" si="1"/>
        <v>1050</v>
      </c>
      <c r="G21" s="672" t="s">
        <v>742</v>
      </c>
      <c r="H21" s="672" t="s">
        <v>742</v>
      </c>
      <c r="I21" s="581" t="s">
        <v>735</v>
      </c>
      <c r="J21" s="590"/>
    </row>
    <row r="22" spans="2:10" ht="26.25" customHeight="1" thickBot="1" x14ac:dyDescent="0.3">
      <c r="B22" s="573" t="s">
        <v>731</v>
      </c>
      <c r="C22" s="574" t="s">
        <v>742</v>
      </c>
      <c r="D22" s="574"/>
      <c r="E22" s="701"/>
      <c r="F22" s="574">
        <f t="shared" si="1"/>
        <v>0</v>
      </c>
      <c r="G22" s="669" t="s">
        <v>742</v>
      </c>
      <c r="H22" s="682" t="s">
        <v>742</v>
      </c>
      <c r="I22" s="576" t="s">
        <v>736</v>
      </c>
      <c r="J22" s="594"/>
    </row>
    <row r="24" spans="2:10" ht="15.75" thickBot="1" x14ac:dyDescent="0.3"/>
    <row r="25" spans="2:10" ht="60" customHeight="1" thickBot="1" x14ac:dyDescent="0.3">
      <c r="B25" s="689" t="s">
        <v>436</v>
      </c>
      <c r="C25" s="690" t="s">
        <v>432</v>
      </c>
      <c r="D25" s="676" t="s">
        <v>876</v>
      </c>
      <c r="E25" s="677" t="s">
        <v>877</v>
      </c>
      <c r="F25" s="678" t="s">
        <v>878</v>
      </c>
      <c r="G25" s="677" t="s">
        <v>879</v>
      </c>
      <c r="H25" s="677" t="s">
        <v>880</v>
      </c>
      <c r="I25" s="677" t="s">
        <v>434</v>
      </c>
      <c r="J25" s="680" t="s">
        <v>428</v>
      </c>
    </row>
    <row r="26" spans="2:10" ht="67.150000000000006" customHeight="1" x14ac:dyDescent="0.25">
      <c r="B26" s="687" t="s">
        <v>729</v>
      </c>
      <c r="C26" s="688">
        <f>C7</f>
        <v>40000</v>
      </c>
      <c r="D26" s="570">
        <f>SUM(D27:D30)</f>
        <v>7411</v>
      </c>
      <c r="E26" s="698">
        <f>SUM(E27:E30)</f>
        <v>0</v>
      </c>
      <c r="F26" s="570">
        <f>SUM(F27:F30)</f>
        <v>7411</v>
      </c>
      <c r="G26" s="561">
        <f>D26/C26</f>
        <v>0.185275</v>
      </c>
      <c r="H26" s="561">
        <f>F26/C26</f>
        <v>0.185275</v>
      </c>
      <c r="I26" s="562" t="s">
        <v>435</v>
      </c>
      <c r="J26" s="691"/>
    </row>
    <row r="27" spans="2:10" ht="24" customHeight="1" x14ac:dyDescent="0.25">
      <c r="B27" s="907" t="s">
        <v>733</v>
      </c>
      <c r="C27" s="908"/>
      <c r="D27" s="591">
        <f>SUMIFS(Database!BD5:BD490,Database!I5:I490,"GCA",Database!Q5:Q490,"UNICEF")-SUMIFS(Database!BD5:BD490,Database!H5:H490,"School",Database!I5:I490,"GCA",Database!Q5:Q490,"UNICEF")</f>
        <v>2428</v>
      </c>
      <c r="E27" s="699"/>
      <c r="F27" s="591">
        <f>D27+E27</f>
        <v>2428</v>
      </c>
      <c r="G27" s="672" t="s">
        <v>742</v>
      </c>
      <c r="H27" s="672" t="s">
        <v>742</v>
      </c>
      <c r="I27" s="592" t="s">
        <v>435</v>
      </c>
      <c r="J27" s="595"/>
    </row>
    <row r="28" spans="2:10" ht="24" customHeight="1" x14ac:dyDescent="0.25">
      <c r="B28" s="909" t="s">
        <v>734</v>
      </c>
      <c r="C28" s="910"/>
      <c r="D28" s="579">
        <f>SUMIFS(Database!BD5:BD490,Database!I5:I490,"NGCA",Database!Q5:Q490,"UNICEF")-SUMIFS(Database!BD5:BD490,Database!H5:H490,"School",Database!I5:I490,"NGCA",Database!Q5:Q490,"UNICEF")</f>
        <v>4090</v>
      </c>
      <c r="E28" s="700"/>
      <c r="F28" s="579">
        <f>D28+E28</f>
        <v>4090</v>
      </c>
      <c r="G28" s="672" t="s">
        <v>742</v>
      </c>
      <c r="H28" s="672" t="s">
        <v>742</v>
      </c>
      <c r="I28" s="581" t="s">
        <v>435</v>
      </c>
      <c r="J28" s="596"/>
    </row>
    <row r="29" spans="2:10" ht="24" customHeight="1" x14ac:dyDescent="0.25">
      <c r="B29" s="909" t="s">
        <v>440</v>
      </c>
      <c r="C29" s="910"/>
      <c r="D29" s="579">
        <f>SUMIFS(Database!BD5:BD490,Database!H5:H490,"School",Database!Q5:Q490,"UNICEF")</f>
        <v>893</v>
      </c>
      <c r="E29" s="700"/>
      <c r="F29" s="571">
        <f>D29+E29</f>
        <v>893</v>
      </c>
      <c r="G29" s="672" t="s">
        <v>742</v>
      </c>
      <c r="H29" s="672" t="s">
        <v>742</v>
      </c>
      <c r="I29" s="581" t="s">
        <v>735</v>
      </c>
      <c r="J29" s="596"/>
    </row>
    <row r="30" spans="2:10" ht="24" customHeight="1" thickBot="1" x14ac:dyDescent="0.3">
      <c r="B30" s="911" t="s">
        <v>731</v>
      </c>
      <c r="C30" s="912"/>
      <c r="D30" s="572"/>
      <c r="E30" s="701"/>
      <c r="F30" s="574">
        <f>E30+D30</f>
        <v>0</v>
      </c>
      <c r="G30" s="669" t="s">
        <v>742</v>
      </c>
      <c r="H30" s="682" t="s">
        <v>742</v>
      </c>
      <c r="I30" s="576" t="s">
        <v>736</v>
      </c>
      <c r="J30" s="597"/>
    </row>
    <row r="32" spans="2:10" ht="15.75" thickBot="1" x14ac:dyDescent="0.3"/>
    <row r="33" spans="2:12" ht="64.5" customHeight="1" thickBot="1" x14ac:dyDescent="0.3">
      <c r="B33" s="689" t="s">
        <v>437</v>
      </c>
      <c r="C33" s="690" t="s">
        <v>432</v>
      </c>
      <c r="D33" s="676" t="s">
        <v>876</v>
      </c>
      <c r="E33" s="677" t="s">
        <v>877</v>
      </c>
      <c r="F33" s="678" t="s">
        <v>878</v>
      </c>
      <c r="G33" s="677" t="s">
        <v>879</v>
      </c>
      <c r="H33" s="677" t="s">
        <v>880</v>
      </c>
      <c r="I33" s="677" t="s">
        <v>434</v>
      </c>
      <c r="J33" s="680" t="s">
        <v>428</v>
      </c>
    </row>
    <row r="34" spans="2:12" ht="67.150000000000006" customHeight="1" x14ac:dyDescent="0.25">
      <c r="B34" s="687" t="s">
        <v>730</v>
      </c>
      <c r="C34" s="688">
        <f>C7</f>
        <v>40000</v>
      </c>
      <c r="D34" s="570">
        <f>SUM(D35:D38)</f>
        <v>3827.65</v>
      </c>
      <c r="E34" s="692">
        <f>SUM(E35:E38)</f>
        <v>0</v>
      </c>
      <c r="F34" s="570">
        <f>D34+E34</f>
        <v>3827.65</v>
      </c>
      <c r="G34" s="561">
        <f>D34/C34</f>
        <v>9.5691250000000005E-2</v>
      </c>
      <c r="H34" s="702">
        <f>F34/C34</f>
        <v>9.5691250000000005E-2</v>
      </c>
      <c r="I34" s="562" t="s">
        <v>435</v>
      </c>
      <c r="J34" s="686"/>
    </row>
    <row r="35" spans="2:12" ht="25.5" customHeight="1" x14ac:dyDescent="0.25">
      <c r="B35" s="907" t="s">
        <v>733</v>
      </c>
      <c r="C35" s="908"/>
      <c r="D35" s="591">
        <f>D8*H35</f>
        <v>1819.3500000000001</v>
      </c>
      <c r="E35" s="591">
        <f>H35*E8</f>
        <v>0</v>
      </c>
      <c r="F35" s="592"/>
      <c r="G35" s="592"/>
      <c r="H35" s="703">
        <v>0.45</v>
      </c>
      <c r="I35" s="592" t="s">
        <v>753</v>
      </c>
      <c r="J35" s="593"/>
    </row>
    <row r="36" spans="2:12" ht="25.5" customHeight="1" x14ac:dyDescent="0.25">
      <c r="B36" s="909" t="s">
        <v>734</v>
      </c>
      <c r="C36" s="910"/>
      <c r="D36" s="579">
        <f t="shared" ref="D36" si="2">D9*H36</f>
        <v>2008.3</v>
      </c>
      <c r="E36" s="579">
        <f t="shared" ref="E36" si="3">H36*E9</f>
        <v>0</v>
      </c>
      <c r="F36" s="581"/>
      <c r="G36" s="581"/>
      <c r="H36" s="704">
        <v>0.35</v>
      </c>
      <c r="I36" s="581" t="s">
        <v>753</v>
      </c>
      <c r="J36" s="590"/>
    </row>
    <row r="37" spans="2:12" ht="25.5" customHeight="1" x14ac:dyDescent="0.25">
      <c r="B37" s="909" t="s">
        <v>440</v>
      </c>
      <c r="C37" s="910"/>
      <c r="D37" s="579">
        <f>D12*H37</f>
        <v>0</v>
      </c>
      <c r="E37" s="579">
        <f>H37*E12</f>
        <v>0</v>
      </c>
      <c r="F37" s="581"/>
      <c r="G37" s="581"/>
      <c r="H37" s="704">
        <v>0.6</v>
      </c>
      <c r="I37" s="581" t="s">
        <v>753</v>
      </c>
      <c r="J37" s="590"/>
    </row>
    <row r="38" spans="2:12" ht="25.5" customHeight="1" thickBot="1" x14ac:dyDescent="0.3">
      <c r="B38" s="911" t="s">
        <v>731</v>
      </c>
      <c r="C38" s="912"/>
      <c r="D38" s="572">
        <f>D11*H38</f>
        <v>0</v>
      </c>
      <c r="E38" s="572">
        <f>E11*H38</f>
        <v>0</v>
      </c>
      <c r="F38" s="556"/>
      <c r="G38" s="556"/>
      <c r="H38" s="705"/>
      <c r="I38" s="556" t="s">
        <v>736</v>
      </c>
      <c r="J38" s="594"/>
    </row>
    <row r="39" spans="2:12" x14ac:dyDescent="0.25">
      <c r="H39" s="47"/>
      <c r="I39" s="47"/>
    </row>
    <row r="40" spans="2:12" x14ac:dyDescent="0.25">
      <c r="H40" s="47"/>
      <c r="I40" s="47"/>
    </row>
    <row r="41" spans="2:12" ht="21" x14ac:dyDescent="0.25">
      <c r="J41" s="897"/>
      <c r="K41" s="898"/>
      <c r="L41" s="898"/>
    </row>
  </sheetData>
  <mergeCells count="16">
    <mergeCell ref="B2:J2"/>
    <mergeCell ref="B6:C6"/>
    <mergeCell ref="J41:L41"/>
    <mergeCell ref="B8:C8"/>
    <mergeCell ref="B9:C9"/>
    <mergeCell ref="B10:C10"/>
    <mergeCell ref="B11:C11"/>
    <mergeCell ref="B12:C12"/>
    <mergeCell ref="B27:C27"/>
    <mergeCell ref="B28:C28"/>
    <mergeCell ref="B29:C29"/>
    <mergeCell ref="B30:C30"/>
    <mergeCell ref="B35:C35"/>
    <mergeCell ref="B36:C36"/>
    <mergeCell ref="B37:C37"/>
    <mergeCell ref="B38:C38"/>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P189"/>
  <sheetViews>
    <sheetView showGridLines="0" zoomScale="75" zoomScaleNormal="75" zoomScaleSheetLayoutView="80" workbookViewId="0">
      <selection activeCell="B2" sqref="B2"/>
    </sheetView>
  </sheetViews>
  <sheetFormatPr defaultColWidth="9.140625" defaultRowHeight="12.75" x14ac:dyDescent="0.2"/>
  <cols>
    <col min="1" max="1" width="5.7109375" style="18" customWidth="1"/>
    <col min="2" max="2" width="22.7109375" style="324" bestFit="1" customWidth="1"/>
    <col min="3" max="3" width="25" style="324" bestFit="1" customWidth="1"/>
    <col min="4" max="4" width="14.28515625" style="324" customWidth="1"/>
    <col min="5" max="5" width="42" style="324" customWidth="1"/>
    <col min="6" max="7" width="10.5703125" style="18" customWidth="1"/>
    <col min="8" max="8" width="13.85546875" style="18" customWidth="1"/>
    <col min="9" max="9" width="10.5703125" style="18" customWidth="1"/>
    <col min="10" max="10" width="14.7109375" style="18" customWidth="1"/>
    <col min="11" max="11" width="29.85546875" style="18" customWidth="1"/>
    <col min="12" max="12" width="12.42578125" style="780" customWidth="1"/>
    <col min="13" max="14" width="19" style="780" customWidth="1"/>
    <col min="15" max="15" width="19.7109375" style="780" customWidth="1"/>
    <col min="16" max="16" width="14.7109375" style="18" customWidth="1"/>
    <col min="17" max="17" width="23.42578125" style="23" customWidth="1"/>
    <col min="18" max="18" width="18.7109375" style="324" customWidth="1"/>
    <col min="19" max="19" width="12.85546875" style="23" customWidth="1"/>
    <col min="20" max="20" width="12.85546875" style="23" hidden="1" customWidth="1"/>
    <col min="21" max="21" width="12.85546875" style="23" customWidth="1"/>
    <col min="22" max="22" width="17.42578125" style="23" customWidth="1"/>
    <col min="23" max="23" width="20.85546875" style="23" hidden="1" customWidth="1"/>
    <col min="24" max="25" width="13.85546875" style="23" customWidth="1"/>
    <col min="26" max="26" width="10.85546875" style="23" customWidth="1"/>
    <col min="27" max="29" width="13.85546875" style="324" customWidth="1"/>
    <col min="30" max="30" width="22.5703125" style="324" customWidth="1"/>
    <col min="31" max="31" width="14.85546875" style="325" customWidth="1"/>
    <col min="32" max="32" width="13.85546875" style="325" customWidth="1"/>
    <col min="33" max="33" width="28.5703125" style="325" bestFit="1" customWidth="1"/>
    <col min="34" max="34" width="15.5703125" style="23" customWidth="1"/>
    <col min="35" max="35" width="12.7109375" style="23" hidden="1" customWidth="1"/>
    <col min="36" max="36" width="16.28515625" style="23" customWidth="1"/>
    <col min="37" max="37" width="15.85546875" style="23" hidden="1" customWidth="1"/>
    <col min="38" max="38" width="17.28515625" style="23" customWidth="1"/>
    <col min="39" max="39" width="13.7109375" style="23" hidden="1" customWidth="1"/>
    <col min="40" max="40" width="13.28515625" style="23" customWidth="1"/>
    <col min="41" max="41" width="13.42578125" style="23" customWidth="1"/>
    <col min="42" max="42" width="15.28515625" style="23" hidden="1" customWidth="1"/>
    <col min="43" max="43" width="13.28515625" style="23" hidden="1" customWidth="1"/>
    <col min="44" max="44" width="12.7109375" style="23" hidden="1" customWidth="1"/>
    <col min="45" max="45" width="15.85546875" style="23" hidden="1" customWidth="1"/>
    <col min="46" max="46" width="15.7109375" style="325" customWidth="1"/>
    <col min="47" max="47" width="14.28515625" style="23" hidden="1" customWidth="1"/>
    <col min="48" max="48" width="48.7109375" style="23" customWidth="1"/>
    <col min="49" max="49" width="15.140625" style="652" hidden="1" customWidth="1"/>
    <col min="50" max="50" width="15.140625" style="23" customWidth="1" collapsed="1"/>
    <col min="51" max="52" width="15.140625" style="23" customWidth="1"/>
    <col min="53" max="53" width="22.85546875" style="23" customWidth="1"/>
    <col min="54" max="54" width="43.42578125" style="23" bestFit="1" customWidth="1"/>
    <col min="55" max="55" width="15.140625" style="23" customWidth="1"/>
    <col min="56" max="56" width="14.5703125" style="23" hidden="1" customWidth="1"/>
    <col min="57" max="57" width="15.140625" style="23" customWidth="1"/>
    <col min="58" max="58" width="15.7109375" style="23" hidden="1" customWidth="1"/>
    <col min="59" max="59" width="15.140625" style="23" customWidth="1"/>
    <col min="60" max="60" width="14.140625" style="23" hidden="1" customWidth="1"/>
    <col min="61" max="61" width="17.7109375" style="23" customWidth="1"/>
    <col min="62" max="62" width="15.140625" style="23" customWidth="1"/>
    <col min="63" max="63" width="15.28515625" style="23" hidden="1" customWidth="1"/>
    <col min="64" max="65" width="15.140625" style="23" customWidth="1"/>
    <col min="66" max="66" width="50.5703125" style="23" bestFit="1" customWidth="1"/>
    <col min="67" max="67" width="15.140625" style="23" customWidth="1"/>
    <col min="68" max="68" width="13.42578125" style="23" hidden="1" customWidth="1"/>
    <col min="69" max="69" width="13.85546875" style="23" customWidth="1"/>
    <col min="70" max="70" width="18.28515625" style="23" customWidth="1"/>
    <col min="71" max="71" width="16.5703125" style="23" hidden="1" customWidth="1"/>
    <col min="72" max="72" width="15.140625" style="23" customWidth="1"/>
    <col min="73" max="73" width="18.140625" style="23" customWidth="1"/>
    <col min="74" max="74" width="17.5703125" style="23" customWidth="1"/>
    <col min="75" max="75" width="15.140625" style="23" customWidth="1"/>
    <col min="76" max="76" width="136.42578125" style="328" customWidth="1"/>
    <col min="77" max="77" width="20.42578125" style="23" customWidth="1"/>
    <col min="78" max="78" width="41.5703125" style="23" bestFit="1" customWidth="1"/>
    <col min="79" max="79" width="13.140625" style="23" customWidth="1"/>
    <col min="80" max="80" width="19.7109375" style="23" customWidth="1"/>
    <col min="81" max="81" width="23.28515625" style="23" customWidth="1"/>
    <col min="82" max="82" width="21" style="23" customWidth="1"/>
    <col min="83" max="83" width="16.7109375" style="23" customWidth="1"/>
    <col min="84" max="84" width="15.140625" style="23" customWidth="1"/>
    <col min="85" max="85" width="20.140625" style="23" hidden="1" customWidth="1"/>
    <col min="86" max="86" width="27.85546875" style="23" bestFit="1" customWidth="1"/>
    <col min="87" max="87" width="99.42578125" style="23" customWidth="1"/>
    <col min="88" max="88" width="19" style="23" customWidth="1"/>
    <col min="89" max="89" width="19" style="23" hidden="1" customWidth="1"/>
    <col min="90" max="90" width="15.140625" style="23" customWidth="1"/>
    <col min="91" max="92" width="21.28515625" style="23" customWidth="1"/>
    <col min="93" max="93" width="54.5703125" style="23" customWidth="1"/>
    <col min="94" max="94" width="51.28515625" style="326" customWidth="1"/>
    <col min="95" max="278" width="9.140625" style="18"/>
    <col min="279" max="279" width="2.5703125" style="18" customWidth="1"/>
    <col min="280" max="280" width="17.85546875" style="18" customWidth="1"/>
    <col min="281" max="281" width="41.5703125" style="18" customWidth="1"/>
    <col min="282" max="283" width="12" style="18" customWidth="1"/>
    <col min="284" max="284" width="17" style="18" customWidth="1"/>
    <col min="285" max="285" width="9.7109375" style="18" customWidth="1"/>
    <col min="286" max="286" width="12.28515625" style="18" customWidth="1"/>
    <col min="287" max="287" width="13.7109375" style="18" customWidth="1"/>
    <col min="288" max="288" width="13.5703125" style="18" bestFit="1" customWidth="1"/>
    <col min="289" max="289" width="13.5703125" style="18" customWidth="1"/>
    <col min="290" max="290" width="21" style="18" customWidth="1"/>
    <col min="291" max="294" width="13.42578125" style="18" customWidth="1"/>
    <col min="295" max="296" width="19" style="18" customWidth="1"/>
    <col min="297" max="297" width="34" style="18" customWidth="1"/>
    <col min="298" max="298" width="19" style="18" customWidth="1"/>
    <col min="299" max="299" width="20" style="18" bestFit="1" customWidth="1"/>
    <col min="300" max="300" width="20.28515625" style="18" bestFit="1" customWidth="1"/>
    <col min="301" max="301" width="26.7109375" style="18" customWidth="1"/>
    <col min="302" max="302" width="20.85546875" style="18" bestFit="1" customWidth="1"/>
    <col min="303" max="303" width="20.85546875" style="18" customWidth="1"/>
    <col min="304" max="304" width="18.85546875" style="18" customWidth="1"/>
    <col min="305" max="305" width="17.5703125" style="18" customWidth="1"/>
    <col min="306" max="307" width="19.42578125" style="18" customWidth="1"/>
    <col min="308" max="308" width="20.7109375" style="18" bestFit="1" customWidth="1"/>
    <col min="309" max="309" width="80.7109375" style="18" customWidth="1"/>
    <col min="310" max="310" width="14.7109375" style="18" bestFit="1" customWidth="1"/>
    <col min="311" max="311" width="18.140625" style="18" bestFit="1" customWidth="1"/>
    <col min="312" max="312" width="16.7109375" style="18" bestFit="1" customWidth="1"/>
    <col min="313" max="313" width="18.5703125" style="18" bestFit="1" customWidth="1"/>
    <col min="314" max="314" width="21.28515625" style="18" bestFit="1" customWidth="1"/>
    <col min="315" max="315" width="16.28515625" style="18" bestFit="1" customWidth="1"/>
    <col min="316" max="316" width="21.140625" style="18" bestFit="1" customWidth="1"/>
    <col min="317" max="317" width="19" style="18" bestFit="1" customWidth="1"/>
    <col min="318" max="318" width="19.140625" style="18" customWidth="1"/>
    <col min="319" max="319" width="16.7109375" style="18" customWidth="1"/>
    <col min="320" max="320" width="21.140625" style="18" bestFit="1" customWidth="1"/>
    <col min="321" max="321" width="20.42578125" style="18" bestFit="1" customWidth="1"/>
    <col min="322" max="322" width="21.140625" style="18" customWidth="1"/>
    <col min="323" max="323" width="20.5703125" style="18" bestFit="1" customWidth="1"/>
    <col min="324" max="324" width="19.7109375" style="18" bestFit="1" customWidth="1"/>
    <col min="325" max="325" width="20.28515625" style="18" customWidth="1"/>
    <col min="326" max="326" width="20.85546875" style="18" bestFit="1" customWidth="1"/>
    <col min="327" max="327" width="19.5703125" style="18" bestFit="1" customWidth="1"/>
    <col min="328" max="328" width="18" style="18" customWidth="1"/>
    <col min="329" max="329" width="20" style="18" bestFit="1" customWidth="1"/>
    <col min="330" max="330" width="35.7109375" style="18" customWidth="1"/>
    <col min="331" max="331" width="21.140625" style="18" bestFit="1" customWidth="1"/>
    <col min="332" max="332" width="20.5703125" style="18" bestFit="1" customWidth="1"/>
    <col min="333" max="333" width="19.42578125" style="18" bestFit="1" customWidth="1"/>
    <col min="334" max="334" width="18.5703125" style="18" bestFit="1" customWidth="1"/>
    <col min="335" max="335" width="20.5703125" style="18" bestFit="1" customWidth="1"/>
    <col min="336" max="336" width="21.28515625" style="18" bestFit="1" customWidth="1"/>
    <col min="337" max="337" width="15.42578125" style="18" customWidth="1"/>
    <col min="338" max="338" width="20.7109375" style="18" customWidth="1"/>
    <col min="339" max="339" width="21.28515625" style="18" customWidth="1"/>
    <col min="340" max="340" width="14.85546875" style="18" bestFit="1" customWidth="1"/>
    <col min="341" max="341" width="23" style="18" bestFit="1" customWidth="1"/>
    <col min="342" max="342" width="21.28515625" style="18" bestFit="1" customWidth="1"/>
    <col min="343" max="343" width="20.28515625" style="18" bestFit="1" customWidth="1"/>
    <col min="344" max="344" width="21" style="18" bestFit="1" customWidth="1"/>
    <col min="345" max="345" width="18.85546875" style="18" bestFit="1" customWidth="1"/>
    <col min="346" max="346" width="80.7109375" style="18" customWidth="1"/>
    <col min="347" max="534" width="9.140625" style="18"/>
    <col min="535" max="535" width="2.5703125" style="18" customWidth="1"/>
    <col min="536" max="536" width="17.85546875" style="18" customWidth="1"/>
    <col min="537" max="537" width="41.5703125" style="18" customWidth="1"/>
    <col min="538" max="539" width="12" style="18" customWidth="1"/>
    <col min="540" max="540" width="17" style="18" customWidth="1"/>
    <col min="541" max="541" width="9.7109375" style="18" customWidth="1"/>
    <col min="542" max="542" width="12.28515625" style="18" customWidth="1"/>
    <col min="543" max="543" width="13.7109375" style="18" customWidth="1"/>
    <col min="544" max="544" width="13.5703125" style="18" bestFit="1" customWidth="1"/>
    <col min="545" max="545" width="13.5703125" style="18" customWidth="1"/>
    <col min="546" max="546" width="21" style="18" customWidth="1"/>
    <col min="547" max="550" width="13.42578125" style="18" customWidth="1"/>
    <col min="551" max="552" width="19" style="18" customWidth="1"/>
    <col min="553" max="553" width="34" style="18" customWidth="1"/>
    <col min="554" max="554" width="19" style="18" customWidth="1"/>
    <col min="555" max="555" width="20" style="18" bestFit="1" customWidth="1"/>
    <col min="556" max="556" width="20.28515625" style="18" bestFit="1" customWidth="1"/>
    <col min="557" max="557" width="26.7109375" style="18" customWidth="1"/>
    <col min="558" max="558" width="20.85546875" style="18" bestFit="1" customWidth="1"/>
    <col min="559" max="559" width="20.85546875" style="18" customWidth="1"/>
    <col min="560" max="560" width="18.85546875" style="18" customWidth="1"/>
    <col min="561" max="561" width="17.5703125" style="18" customWidth="1"/>
    <col min="562" max="563" width="19.42578125" style="18" customWidth="1"/>
    <col min="564" max="564" width="20.7109375" style="18" bestFit="1" customWidth="1"/>
    <col min="565" max="565" width="80.7109375" style="18" customWidth="1"/>
    <col min="566" max="566" width="14.7109375" style="18" bestFit="1" customWidth="1"/>
    <col min="567" max="567" width="18.140625" style="18" bestFit="1" customWidth="1"/>
    <col min="568" max="568" width="16.7109375" style="18" bestFit="1" customWidth="1"/>
    <col min="569" max="569" width="18.5703125" style="18" bestFit="1" customWidth="1"/>
    <col min="570" max="570" width="21.28515625" style="18" bestFit="1" customWidth="1"/>
    <col min="571" max="571" width="16.28515625" style="18" bestFit="1" customWidth="1"/>
    <col min="572" max="572" width="21.140625" style="18" bestFit="1" customWidth="1"/>
    <col min="573" max="573" width="19" style="18" bestFit="1" customWidth="1"/>
    <col min="574" max="574" width="19.140625" style="18" customWidth="1"/>
    <col min="575" max="575" width="16.7109375" style="18" customWidth="1"/>
    <col min="576" max="576" width="21.140625" style="18" bestFit="1" customWidth="1"/>
    <col min="577" max="577" width="20.42578125" style="18" bestFit="1" customWidth="1"/>
    <col min="578" max="578" width="21.140625" style="18" customWidth="1"/>
    <col min="579" max="579" width="20.5703125" style="18" bestFit="1" customWidth="1"/>
    <col min="580" max="580" width="19.7109375" style="18" bestFit="1" customWidth="1"/>
    <col min="581" max="581" width="20.28515625" style="18" customWidth="1"/>
    <col min="582" max="582" width="20.85546875" style="18" bestFit="1" customWidth="1"/>
    <col min="583" max="583" width="19.5703125" style="18" bestFit="1" customWidth="1"/>
    <col min="584" max="584" width="18" style="18" customWidth="1"/>
    <col min="585" max="585" width="20" style="18" bestFit="1" customWidth="1"/>
    <col min="586" max="586" width="35.7109375" style="18" customWidth="1"/>
    <col min="587" max="587" width="21.140625" style="18" bestFit="1" customWidth="1"/>
    <col min="588" max="588" width="20.5703125" style="18" bestFit="1" customWidth="1"/>
    <col min="589" max="589" width="19.42578125" style="18" bestFit="1" customWidth="1"/>
    <col min="590" max="590" width="18.5703125" style="18" bestFit="1" customWidth="1"/>
    <col min="591" max="591" width="20.5703125" style="18" bestFit="1" customWidth="1"/>
    <col min="592" max="592" width="21.28515625" style="18" bestFit="1" customWidth="1"/>
    <col min="593" max="593" width="15.42578125" style="18" customWidth="1"/>
    <col min="594" max="594" width="20.7109375" style="18" customWidth="1"/>
    <col min="595" max="595" width="21.28515625" style="18" customWidth="1"/>
    <col min="596" max="596" width="14.85546875" style="18" bestFit="1" customWidth="1"/>
    <col min="597" max="597" width="23" style="18" bestFit="1" customWidth="1"/>
    <col min="598" max="598" width="21.28515625" style="18" bestFit="1" customWidth="1"/>
    <col min="599" max="599" width="20.28515625" style="18" bestFit="1" customWidth="1"/>
    <col min="600" max="600" width="21" style="18" bestFit="1" customWidth="1"/>
    <col min="601" max="601" width="18.85546875" style="18" bestFit="1" customWidth="1"/>
    <col min="602" max="602" width="80.7109375" style="18" customWidth="1"/>
    <col min="603" max="790" width="9.140625" style="18"/>
    <col min="791" max="791" width="2.5703125" style="18" customWidth="1"/>
    <col min="792" max="792" width="17.85546875" style="18" customWidth="1"/>
    <col min="793" max="793" width="41.5703125" style="18" customWidth="1"/>
    <col min="794" max="795" width="12" style="18" customWidth="1"/>
    <col min="796" max="796" width="17" style="18" customWidth="1"/>
    <col min="797" max="797" width="9.7109375" style="18" customWidth="1"/>
    <col min="798" max="798" width="12.28515625" style="18" customWidth="1"/>
    <col min="799" max="799" width="13.7109375" style="18" customWidth="1"/>
    <col min="800" max="800" width="13.5703125" style="18" bestFit="1" customWidth="1"/>
    <col min="801" max="801" width="13.5703125" style="18" customWidth="1"/>
    <col min="802" max="802" width="21" style="18" customWidth="1"/>
    <col min="803" max="806" width="13.42578125" style="18" customWidth="1"/>
    <col min="807" max="808" width="19" style="18" customWidth="1"/>
    <col min="809" max="809" width="34" style="18" customWidth="1"/>
    <col min="810" max="810" width="19" style="18" customWidth="1"/>
    <col min="811" max="811" width="20" style="18" bestFit="1" customWidth="1"/>
    <col min="812" max="812" width="20.28515625" style="18" bestFit="1" customWidth="1"/>
    <col min="813" max="813" width="26.7109375" style="18" customWidth="1"/>
    <col min="814" max="814" width="20.85546875" style="18" bestFit="1" customWidth="1"/>
    <col min="815" max="815" width="20.85546875" style="18" customWidth="1"/>
    <col min="816" max="816" width="18.85546875" style="18" customWidth="1"/>
    <col min="817" max="817" width="17.5703125" style="18" customWidth="1"/>
    <col min="818" max="819" width="19.42578125" style="18" customWidth="1"/>
    <col min="820" max="820" width="20.7109375" style="18" bestFit="1" customWidth="1"/>
    <col min="821" max="821" width="80.7109375" style="18" customWidth="1"/>
    <col min="822" max="822" width="14.7109375" style="18" bestFit="1" customWidth="1"/>
    <col min="823" max="823" width="18.140625" style="18" bestFit="1" customWidth="1"/>
    <col min="824" max="824" width="16.7109375" style="18" bestFit="1" customWidth="1"/>
    <col min="825" max="825" width="18.5703125" style="18" bestFit="1" customWidth="1"/>
    <col min="826" max="826" width="21.28515625" style="18" bestFit="1" customWidth="1"/>
    <col min="827" max="827" width="16.28515625" style="18" bestFit="1" customWidth="1"/>
    <col min="828" max="828" width="21.140625" style="18" bestFit="1" customWidth="1"/>
    <col min="829" max="829" width="19" style="18" bestFit="1" customWidth="1"/>
    <col min="830" max="830" width="19.140625" style="18" customWidth="1"/>
    <col min="831" max="831" width="16.7109375" style="18" customWidth="1"/>
    <col min="832" max="832" width="21.140625" style="18" bestFit="1" customWidth="1"/>
    <col min="833" max="833" width="20.42578125" style="18" bestFit="1" customWidth="1"/>
    <col min="834" max="834" width="21.140625" style="18" customWidth="1"/>
    <col min="835" max="835" width="20.5703125" style="18" bestFit="1" customWidth="1"/>
    <col min="836" max="836" width="19.7109375" style="18" bestFit="1" customWidth="1"/>
    <col min="837" max="837" width="20.28515625" style="18" customWidth="1"/>
    <col min="838" max="838" width="20.85546875" style="18" bestFit="1" customWidth="1"/>
    <col min="839" max="839" width="19.5703125" style="18" bestFit="1" customWidth="1"/>
    <col min="840" max="840" width="18" style="18" customWidth="1"/>
    <col min="841" max="841" width="20" style="18" bestFit="1" customWidth="1"/>
    <col min="842" max="842" width="35.7109375" style="18" customWidth="1"/>
    <col min="843" max="843" width="21.140625" style="18" bestFit="1" customWidth="1"/>
    <col min="844" max="844" width="20.5703125" style="18" bestFit="1" customWidth="1"/>
    <col min="845" max="845" width="19.42578125" style="18" bestFit="1" customWidth="1"/>
    <col min="846" max="846" width="18.5703125" style="18" bestFit="1" customWidth="1"/>
    <col min="847" max="847" width="20.5703125" style="18" bestFit="1" customWidth="1"/>
    <col min="848" max="848" width="21.28515625" style="18" bestFit="1" customWidth="1"/>
    <col min="849" max="849" width="15.42578125" style="18" customWidth="1"/>
    <col min="850" max="850" width="20.7109375" style="18" customWidth="1"/>
    <col min="851" max="851" width="21.28515625" style="18" customWidth="1"/>
    <col min="852" max="852" width="14.85546875" style="18" bestFit="1" customWidth="1"/>
    <col min="853" max="853" width="23" style="18" bestFit="1" customWidth="1"/>
    <col min="854" max="854" width="21.28515625" style="18" bestFit="1" customWidth="1"/>
    <col min="855" max="855" width="20.28515625" style="18" bestFit="1" customWidth="1"/>
    <col min="856" max="856" width="21" style="18" bestFit="1" customWidth="1"/>
    <col min="857" max="857" width="18.85546875" style="18" bestFit="1" customWidth="1"/>
    <col min="858" max="858" width="80.7109375" style="18" customWidth="1"/>
    <col min="859" max="1046" width="9.140625" style="18"/>
    <col min="1047" max="1047" width="2.5703125" style="18" customWidth="1"/>
    <col min="1048" max="1048" width="17.85546875" style="18" customWidth="1"/>
    <col min="1049" max="1049" width="41.5703125" style="18" customWidth="1"/>
    <col min="1050" max="1051" width="12" style="18" customWidth="1"/>
    <col min="1052" max="1052" width="17" style="18" customWidth="1"/>
    <col min="1053" max="1053" width="9.7109375" style="18" customWidth="1"/>
    <col min="1054" max="1054" width="12.28515625" style="18" customWidth="1"/>
    <col min="1055" max="1055" width="13.7109375" style="18" customWidth="1"/>
    <col min="1056" max="1056" width="13.5703125" style="18" bestFit="1" customWidth="1"/>
    <col min="1057" max="1057" width="13.5703125" style="18" customWidth="1"/>
    <col min="1058" max="1058" width="21" style="18" customWidth="1"/>
    <col min="1059" max="1062" width="13.42578125" style="18" customWidth="1"/>
    <col min="1063" max="1064" width="19" style="18" customWidth="1"/>
    <col min="1065" max="1065" width="34" style="18" customWidth="1"/>
    <col min="1066" max="1066" width="19" style="18" customWidth="1"/>
    <col min="1067" max="1067" width="20" style="18" bestFit="1" customWidth="1"/>
    <col min="1068" max="1068" width="20.28515625" style="18" bestFit="1" customWidth="1"/>
    <col min="1069" max="1069" width="26.7109375" style="18" customWidth="1"/>
    <col min="1070" max="1070" width="20.85546875" style="18" bestFit="1" customWidth="1"/>
    <col min="1071" max="1071" width="20.85546875" style="18" customWidth="1"/>
    <col min="1072" max="1072" width="18.85546875" style="18" customWidth="1"/>
    <col min="1073" max="1073" width="17.5703125" style="18" customWidth="1"/>
    <col min="1074" max="1075" width="19.42578125" style="18" customWidth="1"/>
    <col min="1076" max="1076" width="20.7109375" style="18" bestFit="1" customWidth="1"/>
    <col min="1077" max="1077" width="80.7109375" style="18" customWidth="1"/>
    <col min="1078" max="1078" width="14.7109375" style="18" bestFit="1" customWidth="1"/>
    <col min="1079" max="1079" width="18.140625" style="18" bestFit="1" customWidth="1"/>
    <col min="1080" max="1080" width="16.7109375" style="18" bestFit="1" customWidth="1"/>
    <col min="1081" max="1081" width="18.5703125" style="18" bestFit="1" customWidth="1"/>
    <col min="1082" max="1082" width="21.28515625" style="18" bestFit="1" customWidth="1"/>
    <col min="1083" max="1083" width="16.28515625" style="18" bestFit="1" customWidth="1"/>
    <col min="1084" max="1084" width="21.140625" style="18" bestFit="1" customWidth="1"/>
    <col min="1085" max="1085" width="19" style="18" bestFit="1" customWidth="1"/>
    <col min="1086" max="1086" width="19.140625" style="18" customWidth="1"/>
    <col min="1087" max="1087" width="16.7109375" style="18" customWidth="1"/>
    <col min="1088" max="1088" width="21.140625" style="18" bestFit="1" customWidth="1"/>
    <col min="1089" max="1089" width="20.42578125" style="18" bestFit="1" customWidth="1"/>
    <col min="1090" max="1090" width="21.140625" style="18" customWidth="1"/>
    <col min="1091" max="1091" width="20.5703125" style="18" bestFit="1" customWidth="1"/>
    <col min="1092" max="1092" width="19.7109375" style="18" bestFit="1" customWidth="1"/>
    <col min="1093" max="1093" width="20.28515625" style="18" customWidth="1"/>
    <col min="1094" max="1094" width="20.85546875" style="18" bestFit="1" customWidth="1"/>
    <col min="1095" max="1095" width="19.5703125" style="18" bestFit="1" customWidth="1"/>
    <col min="1096" max="1096" width="18" style="18" customWidth="1"/>
    <col min="1097" max="1097" width="20" style="18" bestFit="1" customWidth="1"/>
    <col min="1098" max="1098" width="35.7109375" style="18" customWidth="1"/>
    <col min="1099" max="1099" width="21.140625" style="18" bestFit="1" customWidth="1"/>
    <col min="1100" max="1100" width="20.5703125" style="18" bestFit="1" customWidth="1"/>
    <col min="1101" max="1101" width="19.42578125" style="18" bestFit="1" customWidth="1"/>
    <col min="1102" max="1102" width="18.5703125" style="18" bestFit="1" customWidth="1"/>
    <col min="1103" max="1103" width="20.5703125" style="18" bestFit="1" customWidth="1"/>
    <col min="1104" max="1104" width="21.28515625" style="18" bestFit="1" customWidth="1"/>
    <col min="1105" max="1105" width="15.42578125" style="18" customWidth="1"/>
    <col min="1106" max="1106" width="20.7109375" style="18" customWidth="1"/>
    <col min="1107" max="1107" width="21.28515625" style="18" customWidth="1"/>
    <col min="1108" max="1108" width="14.85546875" style="18" bestFit="1" customWidth="1"/>
    <col min="1109" max="1109" width="23" style="18" bestFit="1" customWidth="1"/>
    <col min="1110" max="1110" width="21.28515625" style="18" bestFit="1" customWidth="1"/>
    <col min="1111" max="1111" width="20.28515625" style="18" bestFit="1" customWidth="1"/>
    <col min="1112" max="1112" width="21" style="18" bestFit="1" customWidth="1"/>
    <col min="1113" max="1113" width="18.85546875" style="18" bestFit="1" customWidth="1"/>
    <col min="1114" max="1114" width="80.7109375" style="18" customWidth="1"/>
    <col min="1115" max="1302" width="9.140625" style="18"/>
    <col min="1303" max="1303" width="2.5703125" style="18" customWidth="1"/>
    <col min="1304" max="1304" width="17.85546875" style="18" customWidth="1"/>
    <col min="1305" max="1305" width="41.5703125" style="18" customWidth="1"/>
    <col min="1306" max="1307" width="12" style="18" customWidth="1"/>
    <col min="1308" max="1308" width="17" style="18" customWidth="1"/>
    <col min="1309" max="1309" width="9.7109375" style="18" customWidth="1"/>
    <col min="1310" max="1310" width="12.28515625" style="18" customWidth="1"/>
    <col min="1311" max="1311" width="13.7109375" style="18" customWidth="1"/>
    <col min="1312" max="1312" width="13.5703125" style="18" bestFit="1" customWidth="1"/>
    <col min="1313" max="1313" width="13.5703125" style="18" customWidth="1"/>
    <col min="1314" max="1314" width="21" style="18" customWidth="1"/>
    <col min="1315" max="1318" width="13.42578125" style="18" customWidth="1"/>
    <col min="1319" max="1320" width="19" style="18" customWidth="1"/>
    <col min="1321" max="1321" width="34" style="18" customWidth="1"/>
    <col min="1322" max="1322" width="19" style="18" customWidth="1"/>
    <col min="1323" max="1323" width="20" style="18" bestFit="1" customWidth="1"/>
    <col min="1324" max="1324" width="20.28515625" style="18" bestFit="1" customWidth="1"/>
    <col min="1325" max="1325" width="26.7109375" style="18" customWidth="1"/>
    <col min="1326" max="1326" width="20.85546875" style="18" bestFit="1" customWidth="1"/>
    <col min="1327" max="1327" width="20.85546875" style="18" customWidth="1"/>
    <col min="1328" max="1328" width="18.85546875" style="18" customWidth="1"/>
    <col min="1329" max="1329" width="17.5703125" style="18" customWidth="1"/>
    <col min="1330" max="1331" width="19.42578125" style="18" customWidth="1"/>
    <col min="1332" max="1332" width="20.7109375" style="18" bestFit="1" customWidth="1"/>
    <col min="1333" max="1333" width="80.7109375" style="18" customWidth="1"/>
    <col min="1334" max="1334" width="14.7109375" style="18" bestFit="1" customWidth="1"/>
    <col min="1335" max="1335" width="18.140625" style="18" bestFit="1" customWidth="1"/>
    <col min="1336" max="1336" width="16.7109375" style="18" bestFit="1" customWidth="1"/>
    <col min="1337" max="1337" width="18.5703125" style="18" bestFit="1" customWidth="1"/>
    <col min="1338" max="1338" width="21.28515625" style="18" bestFit="1" customWidth="1"/>
    <col min="1339" max="1339" width="16.28515625" style="18" bestFit="1" customWidth="1"/>
    <col min="1340" max="1340" width="21.140625" style="18" bestFit="1" customWidth="1"/>
    <col min="1341" max="1341" width="19" style="18" bestFit="1" customWidth="1"/>
    <col min="1342" max="1342" width="19.140625" style="18" customWidth="1"/>
    <col min="1343" max="1343" width="16.7109375" style="18" customWidth="1"/>
    <col min="1344" max="1344" width="21.140625" style="18" bestFit="1" customWidth="1"/>
    <col min="1345" max="1345" width="20.42578125" style="18" bestFit="1" customWidth="1"/>
    <col min="1346" max="1346" width="21.140625" style="18" customWidth="1"/>
    <col min="1347" max="1347" width="20.5703125" style="18" bestFit="1" customWidth="1"/>
    <col min="1348" max="1348" width="19.7109375" style="18" bestFit="1" customWidth="1"/>
    <col min="1349" max="1349" width="20.28515625" style="18" customWidth="1"/>
    <col min="1350" max="1350" width="20.85546875" style="18" bestFit="1" customWidth="1"/>
    <col min="1351" max="1351" width="19.5703125" style="18" bestFit="1" customWidth="1"/>
    <col min="1352" max="1352" width="18" style="18" customWidth="1"/>
    <col min="1353" max="1353" width="20" style="18" bestFit="1" customWidth="1"/>
    <col min="1354" max="1354" width="35.7109375" style="18" customWidth="1"/>
    <col min="1355" max="1355" width="21.140625" style="18" bestFit="1" customWidth="1"/>
    <col min="1356" max="1356" width="20.5703125" style="18" bestFit="1" customWidth="1"/>
    <col min="1357" max="1357" width="19.42578125" style="18" bestFit="1" customWidth="1"/>
    <col min="1358" max="1358" width="18.5703125" style="18" bestFit="1" customWidth="1"/>
    <col min="1359" max="1359" width="20.5703125" style="18" bestFit="1" customWidth="1"/>
    <col min="1360" max="1360" width="21.28515625" style="18" bestFit="1" customWidth="1"/>
    <col min="1361" max="1361" width="15.42578125" style="18" customWidth="1"/>
    <col min="1362" max="1362" width="20.7109375" style="18" customWidth="1"/>
    <col min="1363" max="1363" width="21.28515625" style="18" customWidth="1"/>
    <col min="1364" max="1364" width="14.85546875" style="18" bestFit="1" customWidth="1"/>
    <col min="1365" max="1365" width="23" style="18" bestFit="1" customWidth="1"/>
    <col min="1366" max="1366" width="21.28515625" style="18" bestFit="1" customWidth="1"/>
    <col min="1367" max="1367" width="20.28515625" style="18" bestFit="1" customWidth="1"/>
    <col min="1368" max="1368" width="21" style="18" bestFit="1" customWidth="1"/>
    <col min="1369" max="1369" width="18.85546875" style="18" bestFit="1" customWidth="1"/>
    <col min="1370" max="1370" width="80.7109375" style="18" customWidth="1"/>
    <col min="1371" max="1558" width="9.140625" style="18"/>
    <col min="1559" max="1559" width="2.5703125" style="18" customWidth="1"/>
    <col min="1560" max="1560" width="17.85546875" style="18" customWidth="1"/>
    <col min="1561" max="1561" width="41.5703125" style="18" customWidth="1"/>
    <col min="1562" max="1563" width="12" style="18" customWidth="1"/>
    <col min="1564" max="1564" width="17" style="18" customWidth="1"/>
    <col min="1565" max="1565" width="9.7109375" style="18" customWidth="1"/>
    <col min="1566" max="1566" width="12.28515625" style="18" customWidth="1"/>
    <col min="1567" max="1567" width="13.7109375" style="18" customWidth="1"/>
    <col min="1568" max="1568" width="13.5703125" style="18" bestFit="1" customWidth="1"/>
    <col min="1569" max="1569" width="13.5703125" style="18" customWidth="1"/>
    <col min="1570" max="1570" width="21" style="18" customWidth="1"/>
    <col min="1571" max="1574" width="13.42578125" style="18" customWidth="1"/>
    <col min="1575" max="1576" width="19" style="18" customWidth="1"/>
    <col min="1577" max="1577" width="34" style="18" customWidth="1"/>
    <col min="1578" max="1578" width="19" style="18" customWidth="1"/>
    <col min="1579" max="1579" width="20" style="18" bestFit="1" customWidth="1"/>
    <col min="1580" max="1580" width="20.28515625" style="18" bestFit="1" customWidth="1"/>
    <col min="1581" max="1581" width="26.7109375" style="18" customWidth="1"/>
    <col min="1582" max="1582" width="20.85546875" style="18" bestFit="1" customWidth="1"/>
    <col min="1583" max="1583" width="20.85546875" style="18" customWidth="1"/>
    <col min="1584" max="1584" width="18.85546875" style="18" customWidth="1"/>
    <col min="1585" max="1585" width="17.5703125" style="18" customWidth="1"/>
    <col min="1586" max="1587" width="19.42578125" style="18" customWidth="1"/>
    <col min="1588" max="1588" width="20.7109375" style="18" bestFit="1" customWidth="1"/>
    <col min="1589" max="1589" width="80.7109375" style="18" customWidth="1"/>
    <col min="1590" max="1590" width="14.7109375" style="18" bestFit="1" customWidth="1"/>
    <col min="1591" max="1591" width="18.140625" style="18" bestFit="1" customWidth="1"/>
    <col min="1592" max="1592" width="16.7109375" style="18" bestFit="1" customWidth="1"/>
    <col min="1593" max="1593" width="18.5703125" style="18" bestFit="1" customWidth="1"/>
    <col min="1594" max="1594" width="21.28515625" style="18" bestFit="1" customWidth="1"/>
    <col min="1595" max="1595" width="16.28515625" style="18" bestFit="1" customWidth="1"/>
    <col min="1596" max="1596" width="21.140625" style="18" bestFit="1" customWidth="1"/>
    <col min="1597" max="1597" width="19" style="18" bestFit="1" customWidth="1"/>
    <col min="1598" max="1598" width="19.140625" style="18" customWidth="1"/>
    <col min="1599" max="1599" width="16.7109375" style="18" customWidth="1"/>
    <col min="1600" max="1600" width="21.140625" style="18" bestFit="1" customWidth="1"/>
    <col min="1601" max="1601" width="20.42578125" style="18" bestFit="1" customWidth="1"/>
    <col min="1602" max="1602" width="21.140625" style="18" customWidth="1"/>
    <col min="1603" max="1603" width="20.5703125" style="18" bestFit="1" customWidth="1"/>
    <col min="1604" max="1604" width="19.7109375" style="18" bestFit="1" customWidth="1"/>
    <col min="1605" max="1605" width="20.28515625" style="18" customWidth="1"/>
    <col min="1606" max="1606" width="20.85546875" style="18" bestFit="1" customWidth="1"/>
    <col min="1607" max="1607" width="19.5703125" style="18" bestFit="1" customWidth="1"/>
    <col min="1608" max="1608" width="18" style="18" customWidth="1"/>
    <col min="1609" max="1609" width="20" style="18" bestFit="1" customWidth="1"/>
    <col min="1610" max="1610" width="35.7109375" style="18" customWidth="1"/>
    <col min="1611" max="1611" width="21.140625" style="18" bestFit="1" customWidth="1"/>
    <col min="1612" max="1612" width="20.5703125" style="18" bestFit="1" customWidth="1"/>
    <col min="1613" max="1613" width="19.42578125" style="18" bestFit="1" customWidth="1"/>
    <col min="1614" max="1614" width="18.5703125" style="18" bestFit="1" customWidth="1"/>
    <col min="1615" max="1615" width="20.5703125" style="18" bestFit="1" customWidth="1"/>
    <col min="1616" max="1616" width="21.28515625" style="18" bestFit="1" customWidth="1"/>
    <col min="1617" max="1617" width="15.42578125" style="18" customWidth="1"/>
    <col min="1618" max="1618" width="20.7109375" style="18" customWidth="1"/>
    <col min="1619" max="1619" width="21.28515625" style="18" customWidth="1"/>
    <col min="1620" max="1620" width="14.85546875" style="18" bestFit="1" customWidth="1"/>
    <col min="1621" max="1621" width="23" style="18" bestFit="1" customWidth="1"/>
    <col min="1622" max="1622" width="21.28515625" style="18" bestFit="1" customWidth="1"/>
    <col min="1623" max="1623" width="20.28515625" style="18" bestFit="1" customWidth="1"/>
    <col min="1624" max="1624" width="21" style="18" bestFit="1" customWidth="1"/>
    <col min="1625" max="1625" width="18.85546875" style="18" bestFit="1" customWidth="1"/>
    <col min="1626" max="1626" width="80.7109375" style="18" customWidth="1"/>
    <col min="1627" max="1814" width="9.140625" style="18"/>
    <col min="1815" max="1815" width="2.5703125" style="18" customWidth="1"/>
    <col min="1816" max="1816" width="17.85546875" style="18" customWidth="1"/>
    <col min="1817" max="1817" width="41.5703125" style="18" customWidth="1"/>
    <col min="1818" max="1819" width="12" style="18" customWidth="1"/>
    <col min="1820" max="1820" width="17" style="18" customWidth="1"/>
    <col min="1821" max="1821" width="9.7109375" style="18" customWidth="1"/>
    <col min="1822" max="1822" width="12.28515625" style="18" customWidth="1"/>
    <col min="1823" max="1823" width="13.7109375" style="18" customWidth="1"/>
    <col min="1824" max="1824" width="13.5703125" style="18" bestFit="1" customWidth="1"/>
    <col min="1825" max="1825" width="13.5703125" style="18" customWidth="1"/>
    <col min="1826" max="1826" width="21" style="18" customWidth="1"/>
    <col min="1827" max="1830" width="13.42578125" style="18" customWidth="1"/>
    <col min="1831" max="1832" width="19" style="18" customWidth="1"/>
    <col min="1833" max="1833" width="34" style="18" customWidth="1"/>
    <col min="1834" max="1834" width="19" style="18" customWidth="1"/>
    <col min="1835" max="1835" width="20" style="18" bestFit="1" customWidth="1"/>
    <col min="1836" max="1836" width="20.28515625" style="18" bestFit="1" customWidth="1"/>
    <col min="1837" max="1837" width="26.7109375" style="18" customWidth="1"/>
    <col min="1838" max="1838" width="20.85546875" style="18" bestFit="1" customWidth="1"/>
    <col min="1839" max="1839" width="20.85546875" style="18" customWidth="1"/>
    <col min="1840" max="1840" width="18.85546875" style="18" customWidth="1"/>
    <col min="1841" max="1841" width="17.5703125" style="18" customWidth="1"/>
    <col min="1842" max="1843" width="19.42578125" style="18" customWidth="1"/>
    <col min="1844" max="1844" width="20.7109375" style="18" bestFit="1" customWidth="1"/>
    <col min="1845" max="1845" width="80.7109375" style="18" customWidth="1"/>
    <col min="1846" max="1846" width="14.7109375" style="18" bestFit="1" customWidth="1"/>
    <col min="1847" max="1847" width="18.140625" style="18" bestFit="1" customWidth="1"/>
    <col min="1848" max="1848" width="16.7109375" style="18" bestFit="1" customWidth="1"/>
    <col min="1849" max="1849" width="18.5703125" style="18" bestFit="1" customWidth="1"/>
    <col min="1850" max="1850" width="21.28515625" style="18" bestFit="1" customWidth="1"/>
    <col min="1851" max="1851" width="16.28515625" style="18" bestFit="1" customWidth="1"/>
    <col min="1852" max="1852" width="21.140625" style="18" bestFit="1" customWidth="1"/>
    <col min="1853" max="1853" width="19" style="18" bestFit="1" customWidth="1"/>
    <col min="1854" max="1854" width="19.140625" style="18" customWidth="1"/>
    <col min="1855" max="1855" width="16.7109375" style="18" customWidth="1"/>
    <col min="1856" max="1856" width="21.140625" style="18" bestFit="1" customWidth="1"/>
    <col min="1857" max="1857" width="20.42578125" style="18" bestFit="1" customWidth="1"/>
    <col min="1858" max="1858" width="21.140625" style="18" customWidth="1"/>
    <col min="1859" max="1859" width="20.5703125" style="18" bestFit="1" customWidth="1"/>
    <col min="1860" max="1860" width="19.7109375" style="18" bestFit="1" customWidth="1"/>
    <col min="1861" max="1861" width="20.28515625" style="18" customWidth="1"/>
    <col min="1862" max="1862" width="20.85546875" style="18" bestFit="1" customWidth="1"/>
    <col min="1863" max="1863" width="19.5703125" style="18" bestFit="1" customWidth="1"/>
    <col min="1864" max="1864" width="18" style="18" customWidth="1"/>
    <col min="1865" max="1865" width="20" style="18" bestFit="1" customWidth="1"/>
    <col min="1866" max="1866" width="35.7109375" style="18" customWidth="1"/>
    <col min="1867" max="1867" width="21.140625" style="18" bestFit="1" customWidth="1"/>
    <col min="1868" max="1868" width="20.5703125" style="18" bestFit="1" customWidth="1"/>
    <col min="1869" max="1869" width="19.42578125" style="18" bestFit="1" customWidth="1"/>
    <col min="1870" max="1870" width="18.5703125" style="18" bestFit="1" customWidth="1"/>
    <col min="1871" max="1871" width="20.5703125" style="18" bestFit="1" customWidth="1"/>
    <col min="1872" max="1872" width="21.28515625" style="18" bestFit="1" customWidth="1"/>
    <col min="1873" max="1873" width="15.42578125" style="18" customWidth="1"/>
    <col min="1874" max="1874" width="20.7109375" style="18" customWidth="1"/>
    <col min="1875" max="1875" width="21.28515625" style="18" customWidth="1"/>
    <col min="1876" max="1876" width="14.85546875" style="18" bestFit="1" customWidth="1"/>
    <col min="1877" max="1877" width="23" style="18" bestFit="1" customWidth="1"/>
    <col min="1878" max="1878" width="21.28515625" style="18" bestFit="1" customWidth="1"/>
    <col min="1879" max="1879" width="20.28515625" style="18" bestFit="1" customWidth="1"/>
    <col min="1880" max="1880" width="21" style="18" bestFit="1" customWidth="1"/>
    <col min="1881" max="1881" width="18.85546875" style="18" bestFit="1" customWidth="1"/>
    <col min="1882" max="1882" width="80.7109375" style="18" customWidth="1"/>
    <col min="1883" max="2070" width="9.140625" style="18"/>
    <col min="2071" max="2071" width="2.5703125" style="18" customWidth="1"/>
    <col min="2072" max="2072" width="17.85546875" style="18" customWidth="1"/>
    <col min="2073" max="2073" width="41.5703125" style="18" customWidth="1"/>
    <col min="2074" max="2075" width="12" style="18" customWidth="1"/>
    <col min="2076" max="2076" width="17" style="18" customWidth="1"/>
    <col min="2077" max="2077" width="9.7109375" style="18" customWidth="1"/>
    <col min="2078" max="2078" width="12.28515625" style="18" customWidth="1"/>
    <col min="2079" max="2079" width="13.7109375" style="18" customWidth="1"/>
    <col min="2080" max="2080" width="13.5703125" style="18" bestFit="1" customWidth="1"/>
    <col min="2081" max="2081" width="13.5703125" style="18" customWidth="1"/>
    <col min="2082" max="2082" width="21" style="18" customWidth="1"/>
    <col min="2083" max="2086" width="13.42578125" style="18" customWidth="1"/>
    <col min="2087" max="2088" width="19" style="18" customWidth="1"/>
    <col min="2089" max="2089" width="34" style="18" customWidth="1"/>
    <col min="2090" max="2090" width="19" style="18" customWidth="1"/>
    <col min="2091" max="2091" width="20" style="18" bestFit="1" customWidth="1"/>
    <col min="2092" max="2092" width="20.28515625" style="18" bestFit="1" customWidth="1"/>
    <col min="2093" max="2093" width="26.7109375" style="18" customWidth="1"/>
    <col min="2094" max="2094" width="20.85546875" style="18" bestFit="1" customWidth="1"/>
    <col min="2095" max="2095" width="20.85546875" style="18" customWidth="1"/>
    <col min="2096" max="2096" width="18.85546875" style="18" customWidth="1"/>
    <col min="2097" max="2097" width="17.5703125" style="18" customWidth="1"/>
    <col min="2098" max="2099" width="19.42578125" style="18" customWidth="1"/>
    <col min="2100" max="2100" width="20.7109375" style="18" bestFit="1" customWidth="1"/>
    <col min="2101" max="2101" width="80.7109375" style="18" customWidth="1"/>
    <col min="2102" max="2102" width="14.7109375" style="18" bestFit="1" customWidth="1"/>
    <col min="2103" max="2103" width="18.140625" style="18" bestFit="1" customWidth="1"/>
    <col min="2104" max="2104" width="16.7109375" style="18" bestFit="1" customWidth="1"/>
    <col min="2105" max="2105" width="18.5703125" style="18" bestFit="1" customWidth="1"/>
    <col min="2106" max="2106" width="21.28515625" style="18" bestFit="1" customWidth="1"/>
    <col min="2107" max="2107" width="16.28515625" style="18" bestFit="1" customWidth="1"/>
    <col min="2108" max="2108" width="21.140625" style="18" bestFit="1" customWidth="1"/>
    <col min="2109" max="2109" width="19" style="18" bestFit="1" customWidth="1"/>
    <col min="2110" max="2110" width="19.140625" style="18" customWidth="1"/>
    <col min="2111" max="2111" width="16.7109375" style="18" customWidth="1"/>
    <col min="2112" max="2112" width="21.140625" style="18" bestFit="1" customWidth="1"/>
    <col min="2113" max="2113" width="20.42578125" style="18" bestFit="1" customWidth="1"/>
    <col min="2114" max="2114" width="21.140625" style="18" customWidth="1"/>
    <col min="2115" max="2115" width="20.5703125" style="18" bestFit="1" customWidth="1"/>
    <col min="2116" max="2116" width="19.7109375" style="18" bestFit="1" customWidth="1"/>
    <col min="2117" max="2117" width="20.28515625" style="18" customWidth="1"/>
    <col min="2118" max="2118" width="20.85546875" style="18" bestFit="1" customWidth="1"/>
    <col min="2119" max="2119" width="19.5703125" style="18" bestFit="1" customWidth="1"/>
    <col min="2120" max="2120" width="18" style="18" customWidth="1"/>
    <col min="2121" max="2121" width="20" style="18" bestFit="1" customWidth="1"/>
    <col min="2122" max="2122" width="35.7109375" style="18" customWidth="1"/>
    <col min="2123" max="2123" width="21.140625" style="18" bestFit="1" customWidth="1"/>
    <col min="2124" max="2124" width="20.5703125" style="18" bestFit="1" customWidth="1"/>
    <col min="2125" max="2125" width="19.42578125" style="18" bestFit="1" customWidth="1"/>
    <col min="2126" max="2126" width="18.5703125" style="18" bestFit="1" customWidth="1"/>
    <col min="2127" max="2127" width="20.5703125" style="18" bestFit="1" customWidth="1"/>
    <col min="2128" max="2128" width="21.28515625" style="18" bestFit="1" customWidth="1"/>
    <col min="2129" max="2129" width="15.42578125" style="18" customWidth="1"/>
    <col min="2130" max="2130" width="20.7109375" style="18" customWidth="1"/>
    <col min="2131" max="2131" width="21.28515625" style="18" customWidth="1"/>
    <col min="2132" max="2132" width="14.85546875" style="18" bestFit="1" customWidth="1"/>
    <col min="2133" max="2133" width="23" style="18" bestFit="1" customWidth="1"/>
    <col min="2134" max="2134" width="21.28515625" style="18" bestFit="1" customWidth="1"/>
    <col min="2135" max="2135" width="20.28515625" style="18" bestFit="1" customWidth="1"/>
    <col min="2136" max="2136" width="21" style="18" bestFit="1" customWidth="1"/>
    <col min="2137" max="2137" width="18.85546875" style="18" bestFit="1" customWidth="1"/>
    <col min="2138" max="2138" width="80.7109375" style="18" customWidth="1"/>
    <col min="2139" max="2326" width="9.140625" style="18"/>
    <col min="2327" max="2327" width="2.5703125" style="18" customWidth="1"/>
    <col min="2328" max="2328" width="17.85546875" style="18" customWidth="1"/>
    <col min="2329" max="2329" width="41.5703125" style="18" customWidth="1"/>
    <col min="2330" max="2331" width="12" style="18" customWidth="1"/>
    <col min="2332" max="2332" width="17" style="18" customWidth="1"/>
    <col min="2333" max="2333" width="9.7109375" style="18" customWidth="1"/>
    <col min="2334" max="2334" width="12.28515625" style="18" customWidth="1"/>
    <col min="2335" max="2335" width="13.7109375" style="18" customWidth="1"/>
    <col min="2336" max="2336" width="13.5703125" style="18" bestFit="1" customWidth="1"/>
    <col min="2337" max="2337" width="13.5703125" style="18" customWidth="1"/>
    <col min="2338" max="2338" width="21" style="18" customWidth="1"/>
    <col min="2339" max="2342" width="13.42578125" style="18" customWidth="1"/>
    <col min="2343" max="2344" width="19" style="18" customWidth="1"/>
    <col min="2345" max="2345" width="34" style="18" customWidth="1"/>
    <col min="2346" max="2346" width="19" style="18" customWidth="1"/>
    <col min="2347" max="2347" width="20" style="18" bestFit="1" customWidth="1"/>
    <col min="2348" max="2348" width="20.28515625" style="18" bestFit="1" customWidth="1"/>
    <col min="2349" max="2349" width="26.7109375" style="18" customWidth="1"/>
    <col min="2350" max="2350" width="20.85546875" style="18" bestFit="1" customWidth="1"/>
    <col min="2351" max="2351" width="20.85546875" style="18" customWidth="1"/>
    <col min="2352" max="2352" width="18.85546875" style="18" customWidth="1"/>
    <col min="2353" max="2353" width="17.5703125" style="18" customWidth="1"/>
    <col min="2354" max="2355" width="19.42578125" style="18" customWidth="1"/>
    <col min="2356" max="2356" width="20.7109375" style="18" bestFit="1" customWidth="1"/>
    <col min="2357" max="2357" width="80.7109375" style="18" customWidth="1"/>
    <col min="2358" max="2358" width="14.7109375" style="18" bestFit="1" customWidth="1"/>
    <col min="2359" max="2359" width="18.140625" style="18" bestFit="1" customWidth="1"/>
    <col min="2360" max="2360" width="16.7109375" style="18" bestFit="1" customWidth="1"/>
    <col min="2361" max="2361" width="18.5703125" style="18" bestFit="1" customWidth="1"/>
    <col min="2362" max="2362" width="21.28515625" style="18" bestFit="1" customWidth="1"/>
    <col min="2363" max="2363" width="16.28515625" style="18" bestFit="1" customWidth="1"/>
    <col min="2364" max="2364" width="21.140625" style="18" bestFit="1" customWidth="1"/>
    <col min="2365" max="2365" width="19" style="18" bestFit="1" customWidth="1"/>
    <col min="2366" max="2366" width="19.140625" style="18" customWidth="1"/>
    <col min="2367" max="2367" width="16.7109375" style="18" customWidth="1"/>
    <col min="2368" max="2368" width="21.140625" style="18" bestFit="1" customWidth="1"/>
    <col min="2369" max="2369" width="20.42578125" style="18" bestFit="1" customWidth="1"/>
    <col min="2370" max="2370" width="21.140625" style="18" customWidth="1"/>
    <col min="2371" max="2371" width="20.5703125" style="18" bestFit="1" customWidth="1"/>
    <col min="2372" max="2372" width="19.7109375" style="18" bestFit="1" customWidth="1"/>
    <col min="2373" max="2373" width="20.28515625" style="18" customWidth="1"/>
    <col min="2374" max="2374" width="20.85546875" style="18" bestFit="1" customWidth="1"/>
    <col min="2375" max="2375" width="19.5703125" style="18" bestFit="1" customWidth="1"/>
    <col min="2376" max="2376" width="18" style="18" customWidth="1"/>
    <col min="2377" max="2377" width="20" style="18" bestFit="1" customWidth="1"/>
    <col min="2378" max="2378" width="35.7109375" style="18" customWidth="1"/>
    <col min="2379" max="2379" width="21.140625" style="18" bestFit="1" customWidth="1"/>
    <col min="2380" max="2380" width="20.5703125" style="18" bestFit="1" customWidth="1"/>
    <col min="2381" max="2381" width="19.42578125" style="18" bestFit="1" customWidth="1"/>
    <col min="2382" max="2382" width="18.5703125" style="18" bestFit="1" customWidth="1"/>
    <col min="2383" max="2383" width="20.5703125" style="18" bestFit="1" customWidth="1"/>
    <col min="2384" max="2384" width="21.28515625" style="18" bestFit="1" customWidth="1"/>
    <col min="2385" max="2385" width="15.42578125" style="18" customWidth="1"/>
    <col min="2386" max="2386" width="20.7109375" style="18" customWidth="1"/>
    <col min="2387" max="2387" width="21.28515625" style="18" customWidth="1"/>
    <col min="2388" max="2388" width="14.85546875" style="18" bestFit="1" customWidth="1"/>
    <col min="2389" max="2389" width="23" style="18" bestFit="1" customWidth="1"/>
    <col min="2390" max="2390" width="21.28515625" style="18" bestFit="1" customWidth="1"/>
    <col min="2391" max="2391" width="20.28515625" style="18" bestFit="1" customWidth="1"/>
    <col min="2392" max="2392" width="21" style="18" bestFit="1" customWidth="1"/>
    <col min="2393" max="2393" width="18.85546875" style="18" bestFit="1" customWidth="1"/>
    <col min="2394" max="2394" width="80.7109375" style="18" customWidth="1"/>
    <col min="2395" max="2582" width="9.140625" style="18"/>
    <col min="2583" max="2583" width="2.5703125" style="18" customWidth="1"/>
    <col min="2584" max="2584" width="17.85546875" style="18" customWidth="1"/>
    <col min="2585" max="2585" width="41.5703125" style="18" customWidth="1"/>
    <col min="2586" max="2587" width="12" style="18" customWidth="1"/>
    <col min="2588" max="2588" width="17" style="18" customWidth="1"/>
    <col min="2589" max="2589" width="9.7109375" style="18" customWidth="1"/>
    <col min="2590" max="2590" width="12.28515625" style="18" customWidth="1"/>
    <col min="2591" max="2591" width="13.7109375" style="18" customWidth="1"/>
    <col min="2592" max="2592" width="13.5703125" style="18" bestFit="1" customWidth="1"/>
    <col min="2593" max="2593" width="13.5703125" style="18" customWidth="1"/>
    <col min="2594" max="2594" width="21" style="18" customWidth="1"/>
    <col min="2595" max="2598" width="13.42578125" style="18" customWidth="1"/>
    <col min="2599" max="2600" width="19" style="18" customWidth="1"/>
    <col min="2601" max="2601" width="34" style="18" customWidth="1"/>
    <col min="2602" max="2602" width="19" style="18" customWidth="1"/>
    <col min="2603" max="2603" width="20" style="18" bestFit="1" customWidth="1"/>
    <col min="2604" max="2604" width="20.28515625" style="18" bestFit="1" customWidth="1"/>
    <col min="2605" max="2605" width="26.7109375" style="18" customWidth="1"/>
    <col min="2606" max="2606" width="20.85546875" style="18" bestFit="1" customWidth="1"/>
    <col min="2607" max="2607" width="20.85546875" style="18" customWidth="1"/>
    <col min="2608" max="2608" width="18.85546875" style="18" customWidth="1"/>
    <col min="2609" max="2609" width="17.5703125" style="18" customWidth="1"/>
    <col min="2610" max="2611" width="19.42578125" style="18" customWidth="1"/>
    <col min="2612" max="2612" width="20.7109375" style="18" bestFit="1" customWidth="1"/>
    <col min="2613" max="2613" width="80.7109375" style="18" customWidth="1"/>
    <col min="2614" max="2614" width="14.7109375" style="18" bestFit="1" customWidth="1"/>
    <col min="2615" max="2615" width="18.140625" style="18" bestFit="1" customWidth="1"/>
    <col min="2616" max="2616" width="16.7109375" style="18" bestFit="1" customWidth="1"/>
    <col min="2617" max="2617" width="18.5703125" style="18" bestFit="1" customWidth="1"/>
    <col min="2618" max="2618" width="21.28515625" style="18" bestFit="1" customWidth="1"/>
    <col min="2619" max="2619" width="16.28515625" style="18" bestFit="1" customWidth="1"/>
    <col min="2620" max="2620" width="21.140625" style="18" bestFit="1" customWidth="1"/>
    <col min="2621" max="2621" width="19" style="18" bestFit="1" customWidth="1"/>
    <col min="2622" max="2622" width="19.140625" style="18" customWidth="1"/>
    <col min="2623" max="2623" width="16.7109375" style="18" customWidth="1"/>
    <col min="2624" max="2624" width="21.140625" style="18" bestFit="1" customWidth="1"/>
    <col min="2625" max="2625" width="20.42578125" style="18" bestFit="1" customWidth="1"/>
    <col min="2626" max="2626" width="21.140625" style="18" customWidth="1"/>
    <col min="2627" max="2627" width="20.5703125" style="18" bestFit="1" customWidth="1"/>
    <col min="2628" max="2628" width="19.7109375" style="18" bestFit="1" customWidth="1"/>
    <col min="2629" max="2629" width="20.28515625" style="18" customWidth="1"/>
    <col min="2630" max="2630" width="20.85546875" style="18" bestFit="1" customWidth="1"/>
    <col min="2631" max="2631" width="19.5703125" style="18" bestFit="1" customWidth="1"/>
    <col min="2632" max="2632" width="18" style="18" customWidth="1"/>
    <col min="2633" max="2633" width="20" style="18" bestFit="1" customWidth="1"/>
    <col min="2634" max="2634" width="35.7109375" style="18" customWidth="1"/>
    <col min="2635" max="2635" width="21.140625" style="18" bestFit="1" customWidth="1"/>
    <col min="2636" max="2636" width="20.5703125" style="18" bestFit="1" customWidth="1"/>
    <col min="2637" max="2637" width="19.42578125" style="18" bestFit="1" customWidth="1"/>
    <col min="2638" max="2638" width="18.5703125" style="18" bestFit="1" customWidth="1"/>
    <col min="2639" max="2639" width="20.5703125" style="18" bestFit="1" customWidth="1"/>
    <col min="2640" max="2640" width="21.28515625" style="18" bestFit="1" customWidth="1"/>
    <col min="2641" max="2641" width="15.42578125" style="18" customWidth="1"/>
    <col min="2642" max="2642" width="20.7109375" style="18" customWidth="1"/>
    <col min="2643" max="2643" width="21.28515625" style="18" customWidth="1"/>
    <col min="2644" max="2644" width="14.85546875" style="18" bestFit="1" customWidth="1"/>
    <col min="2645" max="2645" width="23" style="18" bestFit="1" customWidth="1"/>
    <col min="2646" max="2646" width="21.28515625" style="18" bestFit="1" customWidth="1"/>
    <col min="2647" max="2647" width="20.28515625" style="18" bestFit="1" customWidth="1"/>
    <col min="2648" max="2648" width="21" style="18" bestFit="1" customWidth="1"/>
    <col min="2649" max="2649" width="18.85546875" style="18" bestFit="1" customWidth="1"/>
    <col min="2650" max="2650" width="80.7109375" style="18" customWidth="1"/>
    <col min="2651" max="2838" width="9.140625" style="18"/>
    <col min="2839" max="2839" width="2.5703125" style="18" customWidth="1"/>
    <col min="2840" max="2840" width="17.85546875" style="18" customWidth="1"/>
    <col min="2841" max="2841" width="41.5703125" style="18" customWidth="1"/>
    <col min="2842" max="2843" width="12" style="18" customWidth="1"/>
    <col min="2844" max="2844" width="17" style="18" customWidth="1"/>
    <col min="2845" max="2845" width="9.7109375" style="18" customWidth="1"/>
    <col min="2846" max="2846" width="12.28515625" style="18" customWidth="1"/>
    <col min="2847" max="2847" width="13.7109375" style="18" customWidth="1"/>
    <col min="2848" max="2848" width="13.5703125" style="18" bestFit="1" customWidth="1"/>
    <col min="2849" max="2849" width="13.5703125" style="18" customWidth="1"/>
    <col min="2850" max="2850" width="21" style="18" customWidth="1"/>
    <col min="2851" max="2854" width="13.42578125" style="18" customWidth="1"/>
    <col min="2855" max="2856" width="19" style="18" customWidth="1"/>
    <col min="2857" max="2857" width="34" style="18" customWidth="1"/>
    <col min="2858" max="2858" width="19" style="18" customWidth="1"/>
    <col min="2859" max="2859" width="20" style="18" bestFit="1" customWidth="1"/>
    <col min="2860" max="2860" width="20.28515625" style="18" bestFit="1" customWidth="1"/>
    <col min="2861" max="2861" width="26.7109375" style="18" customWidth="1"/>
    <col min="2862" max="2862" width="20.85546875" style="18" bestFit="1" customWidth="1"/>
    <col min="2863" max="2863" width="20.85546875" style="18" customWidth="1"/>
    <col min="2864" max="2864" width="18.85546875" style="18" customWidth="1"/>
    <col min="2865" max="2865" width="17.5703125" style="18" customWidth="1"/>
    <col min="2866" max="2867" width="19.42578125" style="18" customWidth="1"/>
    <col min="2868" max="2868" width="20.7109375" style="18" bestFit="1" customWidth="1"/>
    <col min="2869" max="2869" width="80.7109375" style="18" customWidth="1"/>
    <col min="2870" max="2870" width="14.7109375" style="18" bestFit="1" customWidth="1"/>
    <col min="2871" max="2871" width="18.140625" style="18" bestFit="1" customWidth="1"/>
    <col min="2872" max="2872" width="16.7109375" style="18" bestFit="1" customWidth="1"/>
    <col min="2873" max="2873" width="18.5703125" style="18" bestFit="1" customWidth="1"/>
    <col min="2874" max="2874" width="21.28515625" style="18" bestFit="1" customWidth="1"/>
    <col min="2875" max="2875" width="16.28515625" style="18" bestFit="1" customWidth="1"/>
    <col min="2876" max="2876" width="21.140625" style="18" bestFit="1" customWidth="1"/>
    <col min="2877" max="2877" width="19" style="18" bestFit="1" customWidth="1"/>
    <col min="2878" max="2878" width="19.140625" style="18" customWidth="1"/>
    <col min="2879" max="2879" width="16.7109375" style="18" customWidth="1"/>
    <col min="2880" max="2880" width="21.140625" style="18" bestFit="1" customWidth="1"/>
    <col min="2881" max="2881" width="20.42578125" style="18" bestFit="1" customWidth="1"/>
    <col min="2882" max="2882" width="21.140625" style="18" customWidth="1"/>
    <col min="2883" max="2883" width="20.5703125" style="18" bestFit="1" customWidth="1"/>
    <col min="2884" max="2884" width="19.7109375" style="18" bestFit="1" customWidth="1"/>
    <col min="2885" max="2885" width="20.28515625" style="18" customWidth="1"/>
    <col min="2886" max="2886" width="20.85546875" style="18" bestFit="1" customWidth="1"/>
    <col min="2887" max="2887" width="19.5703125" style="18" bestFit="1" customWidth="1"/>
    <col min="2888" max="2888" width="18" style="18" customWidth="1"/>
    <col min="2889" max="2889" width="20" style="18" bestFit="1" customWidth="1"/>
    <col min="2890" max="2890" width="35.7109375" style="18" customWidth="1"/>
    <col min="2891" max="2891" width="21.140625" style="18" bestFit="1" customWidth="1"/>
    <col min="2892" max="2892" width="20.5703125" style="18" bestFit="1" customWidth="1"/>
    <col min="2893" max="2893" width="19.42578125" style="18" bestFit="1" customWidth="1"/>
    <col min="2894" max="2894" width="18.5703125" style="18" bestFit="1" customWidth="1"/>
    <col min="2895" max="2895" width="20.5703125" style="18" bestFit="1" customWidth="1"/>
    <col min="2896" max="2896" width="21.28515625" style="18" bestFit="1" customWidth="1"/>
    <col min="2897" max="2897" width="15.42578125" style="18" customWidth="1"/>
    <col min="2898" max="2898" width="20.7109375" style="18" customWidth="1"/>
    <col min="2899" max="2899" width="21.28515625" style="18" customWidth="1"/>
    <col min="2900" max="2900" width="14.85546875" style="18" bestFit="1" customWidth="1"/>
    <col min="2901" max="2901" width="23" style="18" bestFit="1" customWidth="1"/>
    <col min="2902" max="2902" width="21.28515625" style="18" bestFit="1" customWidth="1"/>
    <col min="2903" max="2903" width="20.28515625" style="18" bestFit="1" customWidth="1"/>
    <col min="2904" max="2904" width="21" style="18" bestFit="1" customWidth="1"/>
    <col min="2905" max="2905" width="18.85546875" style="18" bestFit="1" customWidth="1"/>
    <col min="2906" max="2906" width="80.7109375" style="18" customWidth="1"/>
    <col min="2907" max="3094" width="9.140625" style="18"/>
    <col min="3095" max="3095" width="2.5703125" style="18" customWidth="1"/>
    <col min="3096" max="3096" width="17.85546875" style="18" customWidth="1"/>
    <col min="3097" max="3097" width="41.5703125" style="18" customWidth="1"/>
    <col min="3098" max="3099" width="12" style="18" customWidth="1"/>
    <col min="3100" max="3100" width="17" style="18" customWidth="1"/>
    <col min="3101" max="3101" width="9.7109375" style="18" customWidth="1"/>
    <col min="3102" max="3102" width="12.28515625" style="18" customWidth="1"/>
    <col min="3103" max="3103" width="13.7109375" style="18" customWidth="1"/>
    <col min="3104" max="3104" width="13.5703125" style="18" bestFit="1" customWidth="1"/>
    <col min="3105" max="3105" width="13.5703125" style="18" customWidth="1"/>
    <col min="3106" max="3106" width="21" style="18" customWidth="1"/>
    <col min="3107" max="3110" width="13.42578125" style="18" customWidth="1"/>
    <col min="3111" max="3112" width="19" style="18" customWidth="1"/>
    <col min="3113" max="3113" width="34" style="18" customWidth="1"/>
    <col min="3114" max="3114" width="19" style="18" customWidth="1"/>
    <col min="3115" max="3115" width="20" style="18" bestFit="1" customWidth="1"/>
    <col min="3116" max="3116" width="20.28515625" style="18" bestFit="1" customWidth="1"/>
    <col min="3117" max="3117" width="26.7109375" style="18" customWidth="1"/>
    <col min="3118" max="3118" width="20.85546875" style="18" bestFit="1" customWidth="1"/>
    <col min="3119" max="3119" width="20.85546875" style="18" customWidth="1"/>
    <col min="3120" max="3120" width="18.85546875" style="18" customWidth="1"/>
    <col min="3121" max="3121" width="17.5703125" style="18" customWidth="1"/>
    <col min="3122" max="3123" width="19.42578125" style="18" customWidth="1"/>
    <col min="3124" max="3124" width="20.7109375" style="18" bestFit="1" customWidth="1"/>
    <col min="3125" max="3125" width="80.7109375" style="18" customWidth="1"/>
    <col min="3126" max="3126" width="14.7109375" style="18" bestFit="1" customWidth="1"/>
    <col min="3127" max="3127" width="18.140625" style="18" bestFit="1" customWidth="1"/>
    <col min="3128" max="3128" width="16.7109375" style="18" bestFit="1" customWidth="1"/>
    <col min="3129" max="3129" width="18.5703125" style="18" bestFit="1" customWidth="1"/>
    <col min="3130" max="3130" width="21.28515625" style="18" bestFit="1" customWidth="1"/>
    <col min="3131" max="3131" width="16.28515625" style="18" bestFit="1" customWidth="1"/>
    <col min="3132" max="3132" width="21.140625" style="18" bestFit="1" customWidth="1"/>
    <col min="3133" max="3133" width="19" style="18" bestFit="1" customWidth="1"/>
    <col min="3134" max="3134" width="19.140625" style="18" customWidth="1"/>
    <col min="3135" max="3135" width="16.7109375" style="18" customWidth="1"/>
    <col min="3136" max="3136" width="21.140625" style="18" bestFit="1" customWidth="1"/>
    <col min="3137" max="3137" width="20.42578125" style="18" bestFit="1" customWidth="1"/>
    <col min="3138" max="3138" width="21.140625" style="18" customWidth="1"/>
    <col min="3139" max="3139" width="20.5703125" style="18" bestFit="1" customWidth="1"/>
    <col min="3140" max="3140" width="19.7109375" style="18" bestFit="1" customWidth="1"/>
    <col min="3141" max="3141" width="20.28515625" style="18" customWidth="1"/>
    <col min="3142" max="3142" width="20.85546875" style="18" bestFit="1" customWidth="1"/>
    <col min="3143" max="3143" width="19.5703125" style="18" bestFit="1" customWidth="1"/>
    <col min="3144" max="3144" width="18" style="18" customWidth="1"/>
    <col min="3145" max="3145" width="20" style="18" bestFit="1" customWidth="1"/>
    <col min="3146" max="3146" width="35.7109375" style="18" customWidth="1"/>
    <col min="3147" max="3147" width="21.140625" style="18" bestFit="1" customWidth="1"/>
    <col min="3148" max="3148" width="20.5703125" style="18" bestFit="1" customWidth="1"/>
    <col min="3149" max="3149" width="19.42578125" style="18" bestFit="1" customWidth="1"/>
    <col min="3150" max="3150" width="18.5703125" style="18" bestFit="1" customWidth="1"/>
    <col min="3151" max="3151" width="20.5703125" style="18" bestFit="1" customWidth="1"/>
    <col min="3152" max="3152" width="21.28515625" style="18" bestFit="1" customWidth="1"/>
    <col min="3153" max="3153" width="15.42578125" style="18" customWidth="1"/>
    <col min="3154" max="3154" width="20.7109375" style="18" customWidth="1"/>
    <col min="3155" max="3155" width="21.28515625" style="18" customWidth="1"/>
    <col min="3156" max="3156" width="14.85546875" style="18" bestFit="1" customWidth="1"/>
    <col min="3157" max="3157" width="23" style="18" bestFit="1" customWidth="1"/>
    <col min="3158" max="3158" width="21.28515625" style="18" bestFit="1" customWidth="1"/>
    <col min="3159" max="3159" width="20.28515625" style="18" bestFit="1" customWidth="1"/>
    <col min="3160" max="3160" width="21" style="18" bestFit="1" customWidth="1"/>
    <col min="3161" max="3161" width="18.85546875" style="18" bestFit="1" customWidth="1"/>
    <col min="3162" max="3162" width="80.7109375" style="18" customWidth="1"/>
    <col min="3163" max="3350" width="9.140625" style="18"/>
    <col min="3351" max="3351" width="2.5703125" style="18" customWidth="1"/>
    <col min="3352" max="3352" width="17.85546875" style="18" customWidth="1"/>
    <col min="3353" max="3353" width="41.5703125" style="18" customWidth="1"/>
    <col min="3354" max="3355" width="12" style="18" customWidth="1"/>
    <col min="3356" max="3356" width="17" style="18" customWidth="1"/>
    <col min="3357" max="3357" width="9.7109375" style="18" customWidth="1"/>
    <col min="3358" max="3358" width="12.28515625" style="18" customWidth="1"/>
    <col min="3359" max="3359" width="13.7109375" style="18" customWidth="1"/>
    <col min="3360" max="3360" width="13.5703125" style="18" bestFit="1" customWidth="1"/>
    <col min="3361" max="3361" width="13.5703125" style="18" customWidth="1"/>
    <col min="3362" max="3362" width="21" style="18" customWidth="1"/>
    <col min="3363" max="3366" width="13.42578125" style="18" customWidth="1"/>
    <col min="3367" max="3368" width="19" style="18" customWidth="1"/>
    <col min="3369" max="3369" width="34" style="18" customWidth="1"/>
    <col min="3370" max="3370" width="19" style="18" customWidth="1"/>
    <col min="3371" max="3371" width="20" style="18" bestFit="1" customWidth="1"/>
    <col min="3372" max="3372" width="20.28515625" style="18" bestFit="1" customWidth="1"/>
    <col min="3373" max="3373" width="26.7109375" style="18" customWidth="1"/>
    <col min="3374" max="3374" width="20.85546875" style="18" bestFit="1" customWidth="1"/>
    <col min="3375" max="3375" width="20.85546875" style="18" customWidth="1"/>
    <col min="3376" max="3376" width="18.85546875" style="18" customWidth="1"/>
    <col min="3377" max="3377" width="17.5703125" style="18" customWidth="1"/>
    <col min="3378" max="3379" width="19.42578125" style="18" customWidth="1"/>
    <col min="3380" max="3380" width="20.7109375" style="18" bestFit="1" customWidth="1"/>
    <col min="3381" max="3381" width="80.7109375" style="18" customWidth="1"/>
    <col min="3382" max="3382" width="14.7109375" style="18" bestFit="1" customWidth="1"/>
    <col min="3383" max="3383" width="18.140625" style="18" bestFit="1" customWidth="1"/>
    <col min="3384" max="3384" width="16.7109375" style="18" bestFit="1" customWidth="1"/>
    <col min="3385" max="3385" width="18.5703125" style="18" bestFit="1" customWidth="1"/>
    <col min="3386" max="3386" width="21.28515625" style="18" bestFit="1" customWidth="1"/>
    <col min="3387" max="3387" width="16.28515625" style="18" bestFit="1" customWidth="1"/>
    <col min="3388" max="3388" width="21.140625" style="18" bestFit="1" customWidth="1"/>
    <col min="3389" max="3389" width="19" style="18" bestFit="1" customWidth="1"/>
    <col min="3390" max="3390" width="19.140625" style="18" customWidth="1"/>
    <col min="3391" max="3391" width="16.7109375" style="18" customWidth="1"/>
    <col min="3392" max="3392" width="21.140625" style="18" bestFit="1" customWidth="1"/>
    <col min="3393" max="3393" width="20.42578125" style="18" bestFit="1" customWidth="1"/>
    <col min="3394" max="3394" width="21.140625" style="18" customWidth="1"/>
    <col min="3395" max="3395" width="20.5703125" style="18" bestFit="1" customWidth="1"/>
    <col min="3396" max="3396" width="19.7109375" style="18" bestFit="1" customWidth="1"/>
    <col min="3397" max="3397" width="20.28515625" style="18" customWidth="1"/>
    <col min="3398" max="3398" width="20.85546875" style="18" bestFit="1" customWidth="1"/>
    <col min="3399" max="3399" width="19.5703125" style="18" bestFit="1" customWidth="1"/>
    <col min="3400" max="3400" width="18" style="18" customWidth="1"/>
    <col min="3401" max="3401" width="20" style="18" bestFit="1" customWidth="1"/>
    <col min="3402" max="3402" width="35.7109375" style="18" customWidth="1"/>
    <col min="3403" max="3403" width="21.140625" style="18" bestFit="1" customWidth="1"/>
    <col min="3404" max="3404" width="20.5703125" style="18" bestFit="1" customWidth="1"/>
    <col min="3405" max="3405" width="19.42578125" style="18" bestFit="1" customWidth="1"/>
    <col min="3406" max="3406" width="18.5703125" style="18" bestFit="1" customWidth="1"/>
    <col min="3407" max="3407" width="20.5703125" style="18" bestFit="1" customWidth="1"/>
    <col min="3408" max="3408" width="21.28515625" style="18" bestFit="1" customWidth="1"/>
    <col min="3409" max="3409" width="15.42578125" style="18" customWidth="1"/>
    <col min="3410" max="3410" width="20.7109375" style="18" customWidth="1"/>
    <col min="3411" max="3411" width="21.28515625" style="18" customWidth="1"/>
    <col min="3412" max="3412" width="14.85546875" style="18" bestFit="1" customWidth="1"/>
    <col min="3413" max="3413" width="23" style="18" bestFit="1" customWidth="1"/>
    <col min="3414" max="3414" width="21.28515625" style="18" bestFit="1" customWidth="1"/>
    <col min="3415" max="3415" width="20.28515625" style="18" bestFit="1" customWidth="1"/>
    <col min="3416" max="3416" width="21" style="18" bestFit="1" customWidth="1"/>
    <col min="3417" max="3417" width="18.85546875" style="18" bestFit="1" customWidth="1"/>
    <col min="3418" max="3418" width="80.7109375" style="18" customWidth="1"/>
    <col min="3419" max="3606" width="9.140625" style="18"/>
    <col min="3607" max="3607" width="2.5703125" style="18" customWidth="1"/>
    <col min="3608" max="3608" width="17.85546875" style="18" customWidth="1"/>
    <col min="3609" max="3609" width="41.5703125" style="18" customWidth="1"/>
    <col min="3610" max="3611" width="12" style="18" customWidth="1"/>
    <col min="3612" max="3612" width="17" style="18" customWidth="1"/>
    <col min="3613" max="3613" width="9.7109375" style="18" customWidth="1"/>
    <col min="3614" max="3614" width="12.28515625" style="18" customWidth="1"/>
    <col min="3615" max="3615" width="13.7109375" style="18" customWidth="1"/>
    <col min="3616" max="3616" width="13.5703125" style="18" bestFit="1" customWidth="1"/>
    <col min="3617" max="3617" width="13.5703125" style="18" customWidth="1"/>
    <col min="3618" max="3618" width="21" style="18" customWidth="1"/>
    <col min="3619" max="3622" width="13.42578125" style="18" customWidth="1"/>
    <col min="3623" max="3624" width="19" style="18" customWidth="1"/>
    <col min="3625" max="3625" width="34" style="18" customWidth="1"/>
    <col min="3626" max="3626" width="19" style="18" customWidth="1"/>
    <col min="3627" max="3627" width="20" style="18" bestFit="1" customWidth="1"/>
    <col min="3628" max="3628" width="20.28515625" style="18" bestFit="1" customWidth="1"/>
    <col min="3629" max="3629" width="26.7109375" style="18" customWidth="1"/>
    <col min="3630" max="3630" width="20.85546875" style="18" bestFit="1" customWidth="1"/>
    <col min="3631" max="3631" width="20.85546875" style="18" customWidth="1"/>
    <col min="3632" max="3632" width="18.85546875" style="18" customWidth="1"/>
    <col min="3633" max="3633" width="17.5703125" style="18" customWidth="1"/>
    <col min="3634" max="3635" width="19.42578125" style="18" customWidth="1"/>
    <col min="3636" max="3636" width="20.7109375" style="18" bestFit="1" customWidth="1"/>
    <col min="3637" max="3637" width="80.7109375" style="18" customWidth="1"/>
    <col min="3638" max="3638" width="14.7109375" style="18" bestFit="1" customWidth="1"/>
    <col min="3639" max="3639" width="18.140625" style="18" bestFit="1" customWidth="1"/>
    <col min="3640" max="3640" width="16.7109375" style="18" bestFit="1" customWidth="1"/>
    <col min="3641" max="3641" width="18.5703125" style="18" bestFit="1" customWidth="1"/>
    <col min="3642" max="3642" width="21.28515625" style="18" bestFit="1" customWidth="1"/>
    <col min="3643" max="3643" width="16.28515625" style="18" bestFit="1" customWidth="1"/>
    <col min="3644" max="3644" width="21.140625" style="18" bestFit="1" customWidth="1"/>
    <col min="3645" max="3645" width="19" style="18" bestFit="1" customWidth="1"/>
    <col min="3646" max="3646" width="19.140625" style="18" customWidth="1"/>
    <col min="3647" max="3647" width="16.7109375" style="18" customWidth="1"/>
    <col min="3648" max="3648" width="21.140625" style="18" bestFit="1" customWidth="1"/>
    <col min="3649" max="3649" width="20.42578125" style="18" bestFit="1" customWidth="1"/>
    <col min="3650" max="3650" width="21.140625" style="18" customWidth="1"/>
    <col min="3651" max="3651" width="20.5703125" style="18" bestFit="1" customWidth="1"/>
    <col min="3652" max="3652" width="19.7109375" style="18" bestFit="1" customWidth="1"/>
    <col min="3653" max="3653" width="20.28515625" style="18" customWidth="1"/>
    <col min="3654" max="3654" width="20.85546875" style="18" bestFit="1" customWidth="1"/>
    <col min="3655" max="3655" width="19.5703125" style="18" bestFit="1" customWidth="1"/>
    <col min="3656" max="3656" width="18" style="18" customWidth="1"/>
    <col min="3657" max="3657" width="20" style="18" bestFit="1" customWidth="1"/>
    <col min="3658" max="3658" width="35.7109375" style="18" customWidth="1"/>
    <col min="3659" max="3659" width="21.140625" style="18" bestFit="1" customWidth="1"/>
    <col min="3660" max="3660" width="20.5703125" style="18" bestFit="1" customWidth="1"/>
    <col min="3661" max="3661" width="19.42578125" style="18" bestFit="1" customWidth="1"/>
    <col min="3662" max="3662" width="18.5703125" style="18" bestFit="1" customWidth="1"/>
    <col min="3663" max="3663" width="20.5703125" style="18" bestFit="1" customWidth="1"/>
    <col min="3664" max="3664" width="21.28515625" style="18" bestFit="1" customWidth="1"/>
    <col min="3665" max="3665" width="15.42578125" style="18" customWidth="1"/>
    <col min="3666" max="3666" width="20.7109375" style="18" customWidth="1"/>
    <col min="3667" max="3667" width="21.28515625" style="18" customWidth="1"/>
    <col min="3668" max="3668" width="14.85546875" style="18" bestFit="1" customWidth="1"/>
    <col min="3669" max="3669" width="23" style="18" bestFit="1" customWidth="1"/>
    <col min="3670" max="3670" width="21.28515625" style="18" bestFit="1" customWidth="1"/>
    <col min="3671" max="3671" width="20.28515625" style="18" bestFit="1" customWidth="1"/>
    <col min="3672" max="3672" width="21" style="18" bestFit="1" customWidth="1"/>
    <col min="3673" max="3673" width="18.85546875" style="18" bestFit="1" customWidth="1"/>
    <col min="3674" max="3674" width="80.7109375" style="18" customWidth="1"/>
    <col min="3675" max="3862" width="9.140625" style="18"/>
    <col min="3863" max="3863" width="2.5703125" style="18" customWidth="1"/>
    <col min="3864" max="3864" width="17.85546875" style="18" customWidth="1"/>
    <col min="3865" max="3865" width="41.5703125" style="18" customWidth="1"/>
    <col min="3866" max="3867" width="12" style="18" customWidth="1"/>
    <col min="3868" max="3868" width="17" style="18" customWidth="1"/>
    <col min="3869" max="3869" width="9.7109375" style="18" customWidth="1"/>
    <col min="3870" max="3870" width="12.28515625" style="18" customWidth="1"/>
    <col min="3871" max="3871" width="13.7109375" style="18" customWidth="1"/>
    <col min="3872" max="3872" width="13.5703125" style="18" bestFit="1" customWidth="1"/>
    <col min="3873" max="3873" width="13.5703125" style="18" customWidth="1"/>
    <col min="3874" max="3874" width="21" style="18" customWidth="1"/>
    <col min="3875" max="3878" width="13.42578125" style="18" customWidth="1"/>
    <col min="3879" max="3880" width="19" style="18" customWidth="1"/>
    <col min="3881" max="3881" width="34" style="18" customWidth="1"/>
    <col min="3882" max="3882" width="19" style="18" customWidth="1"/>
    <col min="3883" max="3883" width="20" style="18" bestFit="1" customWidth="1"/>
    <col min="3884" max="3884" width="20.28515625" style="18" bestFit="1" customWidth="1"/>
    <col min="3885" max="3885" width="26.7109375" style="18" customWidth="1"/>
    <col min="3886" max="3886" width="20.85546875" style="18" bestFit="1" customWidth="1"/>
    <col min="3887" max="3887" width="20.85546875" style="18" customWidth="1"/>
    <col min="3888" max="3888" width="18.85546875" style="18" customWidth="1"/>
    <col min="3889" max="3889" width="17.5703125" style="18" customWidth="1"/>
    <col min="3890" max="3891" width="19.42578125" style="18" customWidth="1"/>
    <col min="3892" max="3892" width="20.7109375" style="18" bestFit="1" customWidth="1"/>
    <col min="3893" max="3893" width="80.7109375" style="18" customWidth="1"/>
    <col min="3894" max="3894" width="14.7109375" style="18" bestFit="1" customWidth="1"/>
    <col min="3895" max="3895" width="18.140625" style="18" bestFit="1" customWidth="1"/>
    <col min="3896" max="3896" width="16.7109375" style="18" bestFit="1" customWidth="1"/>
    <col min="3897" max="3897" width="18.5703125" style="18" bestFit="1" customWidth="1"/>
    <col min="3898" max="3898" width="21.28515625" style="18" bestFit="1" customWidth="1"/>
    <col min="3899" max="3899" width="16.28515625" style="18" bestFit="1" customWidth="1"/>
    <col min="3900" max="3900" width="21.140625" style="18" bestFit="1" customWidth="1"/>
    <col min="3901" max="3901" width="19" style="18" bestFit="1" customWidth="1"/>
    <col min="3902" max="3902" width="19.140625" style="18" customWidth="1"/>
    <col min="3903" max="3903" width="16.7109375" style="18" customWidth="1"/>
    <col min="3904" max="3904" width="21.140625" style="18" bestFit="1" customWidth="1"/>
    <col min="3905" max="3905" width="20.42578125" style="18" bestFit="1" customWidth="1"/>
    <col min="3906" max="3906" width="21.140625" style="18" customWidth="1"/>
    <col min="3907" max="3907" width="20.5703125" style="18" bestFit="1" customWidth="1"/>
    <col min="3908" max="3908" width="19.7109375" style="18" bestFit="1" customWidth="1"/>
    <col min="3909" max="3909" width="20.28515625" style="18" customWidth="1"/>
    <col min="3910" max="3910" width="20.85546875" style="18" bestFit="1" customWidth="1"/>
    <col min="3911" max="3911" width="19.5703125" style="18" bestFit="1" customWidth="1"/>
    <col min="3912" max="3912" width="18" style="18" customWidth="1"/>
    <col min="3913" max="3913" width="20" style="18" bestFit="1" customWidth="1"/>
    <col min="3914" max="3914" width="35.7109375" style="18" customWidth="1"/>
    <col min="3915" max="3915" width="21.140625" style="18" bestFit="1" customWidth="1"/>
    <col min="3916" max="3916" width="20.5703125" style="18" bestFit="1" customWidth="1"/>
    <col min="3917" max="3917" width="19.42578125" style="18" bestFit="1" customWidth="1"/>
    <col min="3918" max="3918" width="18.5703125" style="18" bestFit="1" customWidth="1"/>
    <col min="3919" max="3919" width="20.5703125" style="18" bestFit="1" customWidth="1"/>
    <col min="3920" max="3920" width="21.28515625" style="18" bestFit="1" customWidth="1"/>
    <col min="3921" max="3921" width="15.42578125" style="18" customWidth="1"/>
    <col min="3922" max="3922" width="20.7109375" style="18" customWidth="1"/>
    <col min="3923" max="3923" width="21.28515625" style="18" customWidth="1"/>
    <col min="3924" max="3924" width="14.85546875" style="18" bestFit="1" customWidth="1"/>
    <col min="3925" max="3925" width="23" style="18" bestFit="1" customWidth="1"/>
    <col min="3926" max="3926" width="21.28515625" style="18" bestFit="1" customWidth="1"/>
    <col min="3927" max="3927" width="20.28515625" style="18" bestFit="1" customWidth="1"/>
    <col min="3928" max="3928" width="21" style="18" bestFit="1" customWidth="1"/>
    <col min="3929" max="3929" width="18.85546875" style="18" bestFit="1" customWidth="1"/>
    <col min="3930" max="3930" width="80.7109375" style="18" customWidth="1"/>
    <col min="3931" max="4118" width="9.140625" style="18"/>
    <col min="4119" max="4119" width="2.5703125" style="18" customWidth="1"/>
    <col min="4120" max="4120" width="17.85546875" style="18" customWidth="1"/>
    <col min="4121" max="4121" width="41.5703125" style="18" customWidth="1"/>
    <col min="4122" max="4123" width="12" style="18" customWidth="1"/>
    <col min="4124" max="4124" width="17" style="18" customWidth="1"/>
    <col min="4125" max="4125" width="9.7109375" style="18" customWidth="1"/>
    <col min="4126" max="4126" width="12.28515625" style="18" customWidth="1"/>
    <col min="4127" max="4127" width="13.7109375" style="18" customWidth="1"/>
    <col min="4128" max="4128" width="13.5703125" style="18" bestFit="1" customWidth="1"/>
    <col min="4129" max="4129" width="13.5703125" style="18" customWidth="1"/>
    <col min="4130" max="4130" width="21" style="18" customWidth="1"/>
    <col min="4131" max="4134" width="13.42578125" style="18" customWidth="1"/>
    <col min="4135" max="4136" width="19" style="18" customWidth="1"/>
    <col min="4137" max="4137" width="34" style="18" customWidth="1"/>
    <col min="4138" max="4138" width="19" style="18" customWidth="1"/>
    <col min="4139" max="4139" width="20" style="18" bestFit="1" customWidth="1"/>
    <col min="4140" max="4140" width="20.28515625" style="18" bestFit="1" customWidth="1"/>
    <col min="4141" max="4141" width="26.7109375" style="18" customWidth="1"/>
    <col min="4142" max="4142" width="20.85546875" style="18" bestFit="1" customWidth="1"/>
    <col min="4143" max="4143" width="20.85546875" style="18" customWidth="1"/>
    <col min="4144" max="4144" width="18.85546875" style="18" customWidth="1"/>
    <col min="4145" max="4145" width="17.5703125" style="18" customWidth="1"/>
    <col min="4146" max="4147" width="19.42578125" style="18" customWidth="1"/>
    <col min="4148" max="4148" width="20.7109375" style="18" bestFit="1" customWidth="1"/>
    <col min="4149" max="4149" width="80.7109375" style="18" customWidth="1"/>
    <col min="4150" max="4150" width="14.7109375" style="18" bestFit="1" customWidth="1"/>
    <col min="4151" max="4151" width="18.140625" style="18" bestFit="1" customWidth="1"/>
    <col min="4152" max="4152" width="16.7109375" style="18" bestFit="1" customWidth="1"/>
    <col min="4153" max="4153" width="18.5703125" style="18" bestFit="1" customWidth="1"/>
    <col min="4154" max="4154" width="21.28515625" style="18" bestFit="1" customWidth="1"/>
    <col min="4155" max="4155" width="16.28515625" style="18" bestFit="1" customWidth="1"/>
    <col min="4156" max="4156" width="21.140625" style="18" bestFit="1" customWidth="1"/>
    <col min="4157" max="4157" width="19" style="18" bestFit="1" customWidth="1"/>
    <col min="4158" max="4158" width="19.140625" style="18" customWidth="1"/>
    <col min="4159" max="4159" width="16.7109375" style="18" customWidth="1"/>
    <col min="4160" max="4160" width="21.140625" style="18" bestFit="1" customWidth="1"/>
    <col min="4161" max="4161" width="20.42578125" style="18" bestFit="1" customWidth="1"/>
    <col min="4162" max="4162" width="21.140625" style="18" customWidth="1"/>
    <col min="4163" max="4163" width="20.5703125" style="18" bestFit="1" customWidth="1"/>
    <col min="4164" max="4164" width="19.7109375" style="18" bestFit="1" customWidth="1"/>
    <col min="4165" max="4165" width="20.28515625" style="18" customWidth="1"/>
    <col min="4166" max="4166" width="20.85546875" style="18" bestFit="1" customWidth="1"/>
    <col min="4167" max="4167" width="19.5703125" style="18" bestFit="1" customWidth="1"/>
    <col min="4168" max="4168" width="18" style="18" customWidth="1"/>
    <col min="4169" max="4169" width="20" style="18" bestFit="1" customWidth="1"/>
    <col min="4170" max="4170" width="35.7109375" style="18" customWidth="1"/>
    <col min="4171" max="4171" width="21.140625" style="18" bestFit="1" customWidth="1"/>
    <col min="4172" max="4172" width="20.5703125" style="18" bestFit="1" customWidth="1"/>
    <col min="4173" max="4173" width="19.42578125" style="18" bestFit="1" customWidth="1"/>
    <col min="4174" max="4174" width="18.5703125" style="18" bestFit="1" customWidth="1"/>
    <col min="4175" max="4175" width="20.5703125" style="18" bestFit="1" customWidth="1"/>
    <col min="4176" max="4176" width="21.28515625" style="18" bestFit="1" customWidth="1"/>
    <col min="4177" max="4177" width="15.42578125" style="18" customWidth="1"/>
    <col min="4178" max="4178" width="20.7109375" style="18" customWidth="1"/>
    <col min="4179" max="4179" width="21.28515625" style="18" customWidth="1"/>
    <col min="4180" max="4180" width="14.85546875" style="18" bestFit="1" customWidth="1"/>
    <col min="4181" max="4181" width="23" style="18" bestFit="1" customWidth="1"/>
    <col min="4182" max="4182" width="21.28515625" style="18" bestFit="1" customWidth="1"/>
    <col min="4183" max="4183" width="20.28515625" style="18" bestFit="1" customWidth="1"/>
    <col min="4184" max="4184" width="21" style="18" bestFit="1" customWidth="1"/>
    <col min="4185" max="4185" width="18.85546875" style="18" bestFit="1" customWidth="1"/>
    <col min="4186" max="4186" width="80.7109375" style="18" customWidth="1"/>
    <col min="4187" max="4374" width="9.140625" style="18"/>
    <col min="4375" max="4375" width="2.5703125" style="18" customWidth="1"/>
    <col min="4376" max="4376" width="17.85546875" style="18" customWidth="1"/>
    <col min="4377" max="4377" width="41.5703125" style="18" customWidth="1"/>
    <col min="4378" max="4379" width="12" style="18" customWidth="1"/>
    <col min="4380" max="4380" width="17" style="18" customWidth="1"/>
    <col min="4381" max="4381" width="9.7109375" style="18" customWidth="1"/>
    <col min="4382" max="4382" width="12.28515625" style="18" customWidth="1"/>
    <col min="4383" max="4383" width="13.7109375" style="18" customWidth="1"/>
    <col min="4384" max="4384" width="13.5703125" style="18" bestFit="1" customWidth="1"/>
    <col min="4385" max="4385" width="13.5703125" style="18" customWidth="1"/>
    <col min="4386" max="4386" width="21" style="18" customWidth="1"/>
    <col min="4387" max="4390" width="13.42578125" style="18" customWidth="1"/>
    <col min="4391" max="4392" width="19" style="18" customWidth="1"/>
    <col min="4393" max="4393" width="34" style="18" customWidth="1"/>
    <col min="4394" max="4394" width="19" style="18" customWidth="1"/>
    <col min="4395" max="4395" width="20" style="18" bestFit="1" customWidth="1"/>
    <col min="4396" max="4396" width="20.28515625" style="18" bestFit="1" customWidth="1"/>
    <col min="4397" max="4397" width="26.7109375" style="18" customWidth="1"/>
    <col min="4398" max="4398" width="20.85546875" style="18" bestFit="1" customWidth="1"/>
    <col min="4399" max="4399" width="20.85546875" style="18" customWidth="1"/>
    <col min="4400" max="4400" width="18.85546875" style="18" customWidth="1"/>
    <col min="4401" max="4401" width="17.5703125" style="18" customWidth="1"/>
    <col min="4402" max="4403" width="19.42578125" style="18" customWidth="1"/>
    <col min="4404" max="4404" width="20.7109375" style="18" bestFit="1" customWidth="1"/>
    <col min="4405" max="4405" width="80.7109375" style="18" customWidth="1"/>
    <col min="4406" max="4406" width="14.7109375" style="18" bestFit="1" customWidth="1"/>
    <col min="4407" max="4407" width="18.140625" style="18" bestFit="1" customWidth="1"/>
    <col min="4408" max="4408" width="16.7109375" style="18" bestFit="1" customWidth="1"/>
    <col min="4409" max="4409" width="18.5703125" style="18" bestFit="1" customWidth="1"/>
    <col min="4410" max="4410" width="21.28515625" style="18" bestFit="1" customWidth="1"/>
    <col min="4411" max="4411" width="16.28515625" style="18" bestFit="1" customWidth="1"/>
    <col min="4412" max="4412" width="21.140625" style="18" bestFit="1" customWidth="1"/>
    <col min="4413" max="4413" width="19" style="18" bestFit="1" customWidth="1"/>
    <col min="4414" max="4414" width="19.140625" style="18" customWidth="1"/>
    <col min="4415" max="4415" width="16.7109375" style="18" customWidth="1"/>
    <col min="4416" max="4416" width="21.140625" style="18" bestFit="1" customWidth="1"/>
    <col min="4417" max="4417" width="20.42578125" style="18" bestFit="1" customWidth="1"/>
    <col min="4418" max="4418" width="21.140625" style="18" customWidth="1"/>
    <col min="4419" max="4419" width="20.5703125" style="18" bestFit="1" customWidth="1"/>
    <col min="4420" max="4420" width="19.7109375" style="18" bestFit="1" customWidth="1"/>
    <col min="4421" max="4421" width="20.28515625" style="18" customWidth="1"/>
    <col min="4422" max="4422" width="20.85546875" style="18" bestFit="1" customWidth="1"/>
    <col min="4423" max="4423" width="19.5703125" style="18" bestFit="1" customWidth="1"/>
    <col min="4424" max="4424" width="18" style="18" customWidth="1"/>
    <col min="4425" max="4425" width="20" style="18" bestFit="1" customWidth="1"/>
    <col min="4426" max="4426" width="35.7109375" style="18" customWidth="1"/>
    <col min="4427" max="4427" width="21.140625" style="18" bestFit="1" customWidth="1"/>
    <col min="4428" max="4428" width="20.5703125" style="18" bestFit="1" customWidth="1"/>
    <col min="4429" max="4429" width="19.42578125" style="18" bestFit="1" customWidth="1"/>
    <col min="4430" max="4430" width="18.5703125" style="18" bestFit="1" customWidth="1"/>
    <col min="4431" max="4431" width="20.5703125" style="18" bestFit="1" customWidth="1"/>
    <col min="4432" max="4432" width="21.28515625" style="18" bestFit="1" customWidth="1"/>
    <col min="4433" max="4433" width="15.42578125" style="18" customWidth="1"/>
    <col min="4434" max="4434" width="20.7109375" style="18" customWidth="1"/>
    <col min="4435" max="4435" width="21.28515625" style="18" customWidth="1"/>
    <col min="4436" max="4436" width="14.85546875" style="18" bestFit="1" customWidth="1"/>
    <col min="4437" max="4437" width="23" style="18" bestFit="1" customWidth="1"/>
    <col min="4438" max="4438" width="21.28515625" style="18" bestFit="1" customWidth="1"/>
    <col min="4439" max="4439" width="20.28515625" style="18" bestFit="1" customWidth="1"/>
    <col min="4440" max="4440" width="21" style="18" bestFit="1" customWidth="1"/>
    <col min="4441" max="4441" width="18.85546875" style="18" bestFit="1" customWidth="1"/>
    <col min="4442" max="4442" width="80.7109375" style="18" customWidth="1"/>
    <col min="4443" max="4630" width="9.140625" style="18"/>
    <col min="4631" max="4631" width="2.5703125" style="18" customWidth="1"/>
    <col min="4632" max="4632" width="17.85546875" style="18" customWidth="1"/>
    <col min="4633" max="4633" width="41.5703125" style="18" customWidth="1"/>
    <col min="4634" max="4635" width="12" style="18" customWidth="1"/>
    <col min="4636" max="4636" width="17" style="18" customWidth="1"/>
    <col min="4637" max="4637" width="9.7109375" style="18" customWidth="1"/>
    <col min="4638" max="4638" width="12.28515625" style="18" customWidth="1"/>
    <col min="4639" max="4639" width="13.7109375" style="18" customWidth="1"/>
    <col min="4640" max="4640" width="13.5703125" style="18" bestFit="1" customWidth="1"/>
    <col min="4641" max="4641" width="13.5703125" style="18" customWidth="1"/>
    <col min="4642" max="4642" width="21" style="18" customWidth="1"/>
    <col min="4643" max="4646" width="13.42578125" style="18" customWidth="1"/>
    <col min="4647" max="4648" width="19" style="18" customWidth="1"/>
    <col min="4649" max="4649" width="34" style="18" customWidth="1"/>
    <col min="4650" max="4650" width="19" style="18" customWidth="1"/>
    <col min="4651" max="4651" width="20" style="18" bestFit="1" customWidth="1"/>
    <col min="4652" max="4652" width="20.28515625" style="18" bestFit="1" customWidth="1"/>
    <col min="4653" max="4653" width="26.7109375" style="18" customWidth="1"/>
    <col min="4654" max="4654" width="20.85546875" style="18" bestFit="1" customWidth="1"/>
    <col min="4655" max="4655" width="20.85546875" style="18" customWidth="1"/>
    <col min="4656" max="4656" width="18.85546875" style="18" customWidth="1"/>
    <col min="4657" max="4657" width="17.5703125" style="18" customWidth="1"/>
    <col min="4658" max="4659" width="19.42578125" style="18" customWidth="1"/>
    <col min="4660" max="4660" width="20.7109375" style="18" bestFit="1" customWidth="1"/>
    <col min="4661" max="4661" width="80.7109375" style="18" customWidth="1"/>
    <col min="4662" max="4662" width="14.7109375" style="18" bestFit="1" customWidth="1"/>
    <col min="4663" max="4663" width="18.140625" style="18" bestFit="1" customWidth="1"/>
    <col min="4664" max="4664" width="16.7109375" style="18" bestFit="1" customWidth="1"/>
    <col min="4665" max="4665" width="18.5703125" style="18" bestFit="1" customWidth="1"/>
    <col min="4666" max="4666" width="21.28515625" style="18" bestFit="1" customWidth="1"/>
    <col min="4667" max="4667" width="16.28515625" style="18" bestFit="1" customWidth="1"/>
    <col min="4668" max="4668" width="21.140625" style="18" bestFit="1" customWidth="1"/>
    <col min="4669" max="4669" width="19" style="18" bestFit="1" customWidth="1"/>
    <col min="4670" max="4670" width="19.140625" style="18" customWidth="1"/>
    <col min="4671" max="4671" width="16.7109375" style="18" customWidth="1"/>
    <col min="4672" max="4672" width="21.140625" style="18" bestFit="1" customWidth="1"/>
    <col min="4673" max="4673" width="20.42578125" style="18" bestFit="1" customWidth="1"/>
    <col min="4674" max="4674" width="21.140625" style="18" customWidth="1"/>
    <col min="4675" max="4675" width="20.5703125" style="18" bestFit="1" customWidth="1"/>
    <col min="4676" max="4676" width="19.7109375" style="18" bestFit="1" customWidth="1"/>
    <col min="4677" max="4677" width="20.28515625" style="18" customWidth="1"/>
    <col min="4678" max="4678" width="20.85546875" style="18" bestFit="1" customWidth="1"/>
    <col min="4679" max="4679" width="19.5703125" style="18" bestFit="1" customWidth="1"/>
    <col min="4680" max="4680" width="18" style="18" customWidth="1"/>
    <col min="4681" max="4681" width="20" style="18" bestFit="1" customWidth="1"/>
    <col min="4682" max="4682" width="35.7109375" style="18" customWidth="1"/>
    <col min="4683" max="4683" width="21.140625" style="18" bestFit="1" customWidth="1"/>
    <col min="4684" max="4684" width="20.5703125" style="18" bestFit="1" customWidth="1"/>
    <col min="4685" max="4685" width="19.42578125" style="18" bestFit="1" customWidth="1"/>
    <col min="4686" max="4686" width="18.5703125" style="18" bestFit="1" customWidth="1"/>
    <col min="4687" max="4687" width="20.5703125" style="18" bestFit="1" customWidth="1"/>
    <col min="4688" max="4688" width="21.28515625" style="18" bestFit="1" customWidth="1"/>
    <col min="4689" max="4689" width="15.42578125" style="18" customWidth="1"/>
    <col min="4690" max="4690" width="20.7109375" style="18" customWidth="1"/>
    <col min="4691" max="4691" width="21.28515625" style="18" customWidth="1"/>
    <col min="4692" max="4692" width="14.85546875" style="18" bestFit="1" customWidth="1"/>
    <col min="4693" max="4693" width="23" style="18" bestFit="1" customWidth="1"/>
    <col min="4694" max="4694" width="21.28515625" style="18" bestFit="1" customWidth="1"/>
    <col min="4695" max="4695" width="20.28515625" style="18" bestFit="1" customWidth="1"/>
    <col min="4696" max="4696" width="21" style="18" bestFit="1" customWidth="1"/>
    <col min="4697" max="4697" width="18.85546875" style="18" bestFit="1" customWidth="1"/>
    <col min="4698" max="4698" width="80.7109375" style="18" customWidth="1"/>
    <col min="4699" max="4886" width="9.140625" style="18"/>
    <col min="4887" max="4887" width="2.5703125" style="18" customWidth="1"/>
    <col min="4888" max="4888" width="17.85546875" style="18" customWidth="1"/>
    <col min="4889" max="4889" width="41.5703125" style="18" customWidth="1"/>
    <col min="4890" max="4891" width="12" style="18" customWidth="1"/>
    <col min="4892" max="4892" width="17" style="18" customWidth="1"/>
    <col min="4893" max="4893" width="9.7109375" style="18" customWidth="1"/>
    <col min="4894" max="4894" width="12.28515625" style="18" customWidth="1"/>
    <col min="4895" max="4895" width="13.7109375" style="18" customWidth="1"/>
    <col min="4896" max="4896" width="13.5703125" style="18" bestFit="1" customWidth="1"/>
    <col min="4897" max="4897" width="13.5703125" style="18" customWidth="1"/>
    <col min="4898" max="4898" width="21" style="18" customWidth="1"/>
    <col min="4899" max="4902" width="13.42578125" style="18" customWidth="1"/>
    <col min="4903" max="4904" width="19" style="18" customWidth="1"/>
    <col min="4905" max="4905" width="34" style="18" customWidth="1"/>
    <col min="4906" max="4906" width="19" style="18" customWidth="1"/>
    <col min="4907" max="4907" width="20" style="18" bestFit="1" customWidth="1"/>
    <col min="4908" max="4908" width="20.28515625" style="18" bestFit="1" customWidth="1"/>
    <col min="4909" max="4909" width="26.7109375" style="18" customWidth="1"/>
    <col min="4910" max="4910" width="20.85546875" style="18" bestFit="1" customWidth="1"/>
    <col min="4911" max="4911" width="20.85546875" style="18" customWidth="1"/>
    <col min="4912" max="4912" width="18.85546875" style="18" customWidth="1"/>
    <col min="4913" max="4913" width="17.5703125" style="18" customWidth="1"/>
    <col min="4914" max="4915" width="19.42578125" style="18" customWidth="1"/>
    <col min="4916" max="4916" width="20.7109375" style="18" bestFit="1" customWidth="1"/>
    <col min="4917" max="4917" width="80.7109375" style="18" customWidth="1"/>
    <col min="4918" max="4918" width="14.7109375" style="18" bestFit="1" customWidth="1"/>
    <col min="4919" max="4919" width="18.140625" style="18" bestFit="1" customWidth="1"/>
    <col min="4920" max="4920" width="16.7109375" style="18" bestFit="1" customWidth="1"/>
    <col min="4921" max="4921" width="18.5703125" style="18" bestFit="1" customWidth="1"/>
    <col min="4922" max="4922" width="21.28515625" style="18" bestFit="1" customWidth="1"/>
    <col min="4923" max="4923" width="16.28515625" style="18" bestFit="1" customWidth="1"/>
    <col min="4924" max="4924" width="21.140625" style="18" bestFit="1" customWidth="1"/>
    <col min="4925" max="4925" width="19" style="18" bestFit="1" customWidth="1"/>
    <col min="4926" max="4926" width="19.140625" style="18" customWidth="1"/>
    <col min="4927" max="4927" width="16.7109375" style="18" customWidth="1"/>
    <col min="4928" max="4928" width="21.140625" style="18" bestFit="1" customWidth="1"/>
    <col min="4929" max="4929" width="20.42578125" style="18" bestFit="1" customWidth="1"/>
    <col min="4930" max="4930" width="21.140625" style="18" customWidth="1"/>
    <col min="4931" max="4931" width="20.5703125" style="18" bestFit="1" customWidth="1"/>
    <col min="4932" max="4932" width="19.7109375" style="18" bestFit="1" customWidth="1"/>
    <col min="4933" max="4933" width="20.28515625" style="18" customWidth="1"/>
    <col min="4934" max="4934" width="20.85546875" style="18" bestFit="1" customWidth="1"/>
    <col min="4935" max="4935" width="19.5703125" style="18" bestFit="1" customWidth="1"/>
    <col min="4936" max="4936" width="18" style="18" customWidth="1"/>
    <col min="4937" max="4937" width="20" style="18" bestFit="1" customWidth="1"/>
    <col min="4938" max="4938" width="35.7109375" style="18" customWidth="1"/>
    <col min="4939" max="4939" width="21.140625" style="18" bestFit="1" customWidth="1"/>
    <col min="4940" max="4940" width="20.5703125" style="18" bestFit="1" customWidth="1"/>
    <col min="4941" max="4941" width="19.42578125" style="18" bestFit="1" customWidth="1"/>
    <col min="4942" max="4942" width="18.5703125" style="18" bestFit="1" customWidth="1"/>
    <col min="4943" max="4943" width="20.5703125" style="18" bestFit="1" customWidth="1"/>
    <col min="4944" max="4944" width="21.28515625" style="18" bestFit="1" customWidth="1"/>
    <col min="4945" max="4945" width="15.42578125" style="18" customWidth="1"/>
    <col min="4946" max="4946" width="20.7109375" style="18" customWidth="1"/>
    <col min="4947" max="4947" width="21.28515625" style="18" customWidth="1"/>
    <col min="4948" max="4948" width="14.85546875" style="18" bestFit="1" customWidth="1"/>
    <col min="4949" max="4949" width="23" style="18" bestFit="1" customWidth="1"/>
    <col min="4950" max="4950" width="21.28515625" style="18" bestFit="1" customWidth="1"/>
    <col min="4951" max="4951" width="20.28515625" style="18" bestFit="1" customWidth="1"/>
    <col min="4952" max="4952" width="21" style="18" bestFit="1" customWidth="1"/>
    <col min="4953" max="4953" width="18.85546875" style="18" bestFit="1" customWidth="1"/>
    <col min="4954" max="4954" width="80.7109375" style="18" customWidth="1"/>
    <col min="4955" max="5142" width="9.140625" style="18"/>
    <col min="5143" max="5143" width="2.5703125" style="18" customWidth="1"/>
    <col min="5144" max="5144" width="17.85546875" style="18" customWidth="1"/>
    <col min="5145" max="5145" width="41.5703125" style="18" customWidth="1"/>
    <col min="5146" max="5147" width="12" style="18" customWidth="1"/>
    <col min="5148" max="5148" width="17" style="18" customWidth="1"/>
    <col min="5149" max="5149" width="9.7109375" style="18" customWidth="1"/>
    <col min="5150" max="5150" width="12.28515625" style="18" customWidth="1"/>
    <col min="5151" max="5151" width="13.7109375" style="18" customWidth="1"/>
    <col min="5152" max="5152" width="13.5703125" style="18" bestFit="1" customWidth="1"/>
    <col min="5153" max="5153" width="13.5703125" style="18" customWidth="1"/>
    <col min="5154" max="5154" width="21" style="18" customWidth="1"/>
    <col min="5155" max="5158" width="13.42578125" style="18" customWidth="1"/>
    <col min="5159" max="5160" width="19" style="18" customWidth="1"/>
    <col min="5161" max="5161" width="34" style="18" customWidth="1"/>
    <col min="5162" max="5162" width="19" style="18" customWidth="1"/>
    <col min="5163" max="5163" width="20" style="18" bestFit="1" customWidth="1"/>
    <col min="5164" max="5164" width="20.28515625" style="18" bestFit="1" customWidth="1"/>
    <col min="5165" max="5165" width="26.7109375" style="18" customWidth="1"/>
    <col min="5166" max="5166" width="20.85546875" style="18" bestFit="1" customWidth="1"/>
    <col min="5167" max="5167" width="20.85546875" style="18" customWidth="1"/>
    <col min="5168" max="5168" width="18.85546875" style="18" customWidth="1"/>
    <col min="5169" max="5169" width="17.5703125" style="18" customWidth="1"/>
    <col min="5170" max="5171" width="19.42578125" style="18" customWidth="1"/>
    <col min="5172" max="5172" width="20.7109375" style="18" bestFit="1" customWidth="1"/>
    <col min="5173" max="5173" width="80.7109375" style="18" customWidth="1"/>
    <col min="5174" max="5174" width="14.7109375" style="18" bestFit="1" customWidth="1"/>
    <col min="5175" max="5175" width="18.140625" style="18" bestFit="1" customWidth="1"/>
    <col min="5176" max="5176" width="16.7109375" style="18" bestFit="1" customWidth="1"/>
    <col min="5177" max="5177" width="18.5703125" style="18" bestFit="1" customWidth="1"/>
    <col min="5178" max="5178" width="21.28515625" style="18" bestFit="1" customWidth="1"/>
    <col min="5179" max="5179" width="16.28515625" style="18" bestFit="1" customWidth="1"/>
    <col min="5180" max="5180" width="21.140625" style="18" bestFit="1" customWidth="1"/>
    <col min="5181" max="5181" width="19" style="18" bestFit="1" customWidth="1"/>
    <col min="5182" max="5182" width="19.140625" style="18" customWidth="1"/>
    <col min="5183" max="5183" width="16.7109375" style="18" customWidth="1"/>
    <col min="5184" max="5184" width="21.140625" style="18" bestFit="1" customWidth="1"/>
    <col min="5185" max="5185" width="20.42578125" style="18" bestFit="1" customWidth="1"/>
    <col min="5186" max="5186" width="21.140625" style="18" customWidth="1"/>
    <col min="5187" max="5187" width="20.5703125" style="18" bestFit="1" customWidth="1"/>
    <col min="5188" max="5188" width="19.7109375" style="18" bestFit="1" customWidth="1"/>
    <col min="5189" max="5189" width="20.28515625" style="18" customWidth="1"/>
    <col min="5190" max="5190" width="20.85546875" style="18" bestFit="1" customWidth="1"/>
    <col min="5191" max="5191" width="19.5703125" style="18" bestFit="1" customWidth="1"/>
    <col min="5192" max="5192" width="18" style="18" customWidth="1"/>
    <col min="5193" max="5193" width="20" style="18" bestFit="1" customWidth="1"/>
    <col min="5194" max="5194" width="35.7109375" style="18" customWidth="1"/>
    <col min="5195" max="5195" width="21.140625" style="18" bestFit="1" customWidth="1"/>
    <col min="5196" max="5196" width="20.5703125" style="18" bestFit="1" customWidth="1"/>
    <col min="5197" max="5197" width="19.42578125" style="18" bestFit="1" customWidth="1"/>
    <col min="5198" max="5198" width="18.5703125" style="18" bestFit="1" customWidth="1"/>
    <col min="5199" max="5199" width="20.5703125" style="18" bestFit="1" customWidth="1"/>
    <col min="5200" max="5200" width="21.28515625" style="18" bestFit="1" customWidth="1"/>
    <col min="5201" max="5201" width="15.42578125" style="18" customWidth="1"/>
    <col min="5202" max="5202" width="20.7109375" style="18" customWidth="1"/>
    <col min="5203" max="5203" width="21.28515625" style="18" customWidth="1"/>
    <col min="5204" max="5204" width="14.85546875" style="18" bestFit="1" customWidth="1"/>
    <col min="5205" max="5205" width="23" style="18" bestFit="1" customWidth="1"/>
    <col min="5206" max="5206" width="21.28515625" style="18" bestFit="1" customWidth="1"/>
    <col min="5207" max="5207" width="20.28515625" style="18" bestFit="1" customWidth="1"/>
    <col min="5208" max="5208" width="21" style="18" bestFit="1" customWidth="1"/>
    <col min="5209" max="5209" width="18.85546875" style="18" bestFit="1" customWidth="1"/>
    <col min="5210" max="5210" width="80.7109375" style="18" customWidth="1"/>
    <col min="5211" max="5398" width="9.140625" style="18"/>
    <col min="5399" max="5399" width="2.5703125" style="18" customWidth="1"/>
    <col min="5400" max="5400" width="17.85546875" style="18" customWidth="1"/>
    <col min="5401" max="5401" width="41.5703125" style="18" customWidth="1"/>
    <col min="5402" max="5403" width="12" style="18" customWidth="1"/>
    <col min="5404" max="5404" width="17" style="18" customWidth="1"/>
    <col min="5405" max="5405" width="9.7109375" style="18" customWidth="1"/>
    <col min="5406" max="5406" width="12.28515625" style="18" customWidth="1"/>
    <col min="5407" max="5407" width="13.7109375" style="18" customWidth="1"/>
    <col min="5408" max="5408" width="13.5703125" style="18" bestFit="1" customWidth="1"/>
    <col min="5409" max="5409" width="13.5703125" style="18" customWidth="1"/>
    <col min="5410" max="5410" width="21" style="18" customWidth="1"/>
    <col min="5411" max="5414" width="13.42578125" style="18" customWidth="1"/>
    <col min="5415" max="5416" width="19" style="18" customWidth="1"/>
    <col min="5417" max="5417" width="34" style="18" customWidth="1"/>
    <col min="5418" max="5418" width="19" style="18" customWidth="1"/>
    <col min="5419" max="5419" width="20" style="18" bestFit="1" customWidth="1"/>
    <col min="5420" max="5420" width="20.28515625" style="18" bestFit="1" customWidth="1"/>
    <col min="5421" max="5421" width="26.7109375" style="18" customWidth="1"/>
    <col min="5422" max="5422" width="20.85546875" style="18" bestFit="1" customWidth="1"/>
    <col min="5423" max="5423" width="20.85546875" style="18" customWidth="1"/>
    <col min="5424" max="5424" width="18.85546875" style="18" customWidth="1"/>
    <col min="5425" max="5425" width="17.5703125" style="18" customWidth="1"/>
    <col min="5426" max="5427" width="19.42578125" style="18" customWidth="1"/>
    <col min="5428" max="5428" width="20.7109375" style="18" bestFit="1" customWidth="1"/>
    <col min="5429" max="5429" width="80.7109375" style="18" customWidth="1"/>
    <col min="5430" max="5430" width="14.7109375" style="18" bestFit="1" customWidth="1"/>
    <col min="5431" max="5431" width="18.140625" style="18" bestFit="1" customWidth="1"/>
    <col min="5432" max="5432" width="16.7109375" style="18" bestFit="1" customWidth="1"/>
    <col min="5433" max="5433" width="18.5703125" style="18" bestFit="1" customWidth="1"/>
    <col min="5434" max="5434" width="21.28515625" style="18" bestFit="1" customWidth="1"/>
    <col min="5435" max="5435" width="16.28515625" style="18" bestFit="1" customWidth="1"/>
    <col min="5436" max="5436" width="21.140625" style="18" bestFit="1" customWidth="1"/>
    <col min="5437" max="5437" width="19" style="18" bestFit="1" customWidth="1"/>
    <col min="5438" max="5438" width="19.140625" style="18" customWidth="1"/>
    <col min="5439" max="5439" width="16.7109375" style="18" customWidth="1"/>
    <col min="5440" max="5440" width="21.140625" style="18" bestFit="1" customWidth="1"/>
    <col min="5441" max="5441" width="20.42578125" style="18" bestFit="1" customWidth="1"/>
    <col min="5442" max="5442" width="21.140625" style="18" customWidth="1"/>
    <col min="5443" max="5443" width="20.5703125" style="18" bestFit="1" customWidth="1"/>
    <col min="5444" max="5444" width="19.7109375" style="18" bestFit="1" customWidth="1"/>
    <col min="5445" max="5445" width="20.28515625" style="18" customWidth="1"/>
    <col min="5446" max="5446" width="20.85546875" style="18" bestFit="1" customWidth="1"/>
    <col min="5447" max="5447" width="19.5703125" style="18" bestFit="1" customWidth="1"/>
    <col min="5448" max="5448" width="18" style="18" customWidth="1"/>
    <col min="5449" max="5449" width="20" style="18" bestFit="1" customWidth="1"/>
    <col min="5450" max="5450" width="35.7109375" style="18" customWidth="1"/>
    <col min="5451" max="5451" width="21.140625" style="18" bestFit="1" customWidth="1"/>
    <col min="5452" max="5452" width="20.5703125" style="18" bestFit="1" customWidth="1"/>
    <col min="5453" max="5453" width="19.42578125" style="18" bestFit="1" customWidth="1"/>
    <col min="5454" max="5454" width="18.5703125" style="18" bestFit="1" customWidth="1"/>
    <col min="5455" max="5455" width="20.5703125" style="18" bestFit="1" customWidth="1"/>
    <col min="5456" max="5456" width="21.28515625" style="18" bestFit="1" customWidth="1"/>
    <col min="5457" max="5457" width="15.42578125" style="18" customWidth="1"/>
    <col min="5458" max="5458" width="20.7109375" style="18" customWidth="1"/>
    <col min="5459" max="5459" width="21.28515625" style="18" customWidth="1"/>
    <col min="5460" max="5460" width="14.85546875" style="18" bestFit="1" customWidth="1"/>
    <col min="5461" max="5461" width="23" style="18" bestFit="1" customWidth="1"/>
    <col min="5462" max="5462" width="21.28515625" style="18" bestFit="1" customWidth="1"/>
    <col min="5463" max="5463" width="20.28515625" style="18" bestFit="1" customWidth="1"/>
    <col min="5464" max="5464" width="21" style="18" bestFit="1" customWidth="1"/>
    <col min="5465" max="5465" width="18.85546875" style="18" bestFit="1" customWidth="1"/>
    <col min="5466" max="5466" width="80.7109375" style="18" customWidth="1"/>
    <col min="5467" max="5654" width="9.140625" style="18"/>
    <col min="5655" max="5655" width="2.5703125" style="18" customWidth="1"/>
    <col min="5656" max="5656" width="17.85546875" style="18" customWidth="1"/>
    <col min="5657" max="5657" width="41.5703125" style="18" customWidth="1"/>
    <col min="5658" max="5659" width="12" style="18" customWidth="1"/>
    <col min="5660" max="5660" width="17" style="18" customWidth="1"/>
    <col min="5661" max="5661" width="9.7109375" style="18" customWidth="1"/>
    <col min="5662" max="5662" width="12.28515625" style="18" customWidth="1"/>
    <col min="5663" max="5663" width="13.7109375" style="18" customWidth="1"/>
    <col min="5664" max="5664" width="13.5703125" style="18" bestFit="1" customWidth="1"/>
    <col min="5665" max="5665" width="13.5703125" style="18" customWidth="1"/>
    <col min="5666" max="5666" width="21" style="18" customWidth="1"/>
    <col min="5667" max="5670" width="13.42578125" style="18" customWidth="1"/>
    <col min="5671" max="5672" width="19" style="18" customWidth="1"/>
    <col min="5673" max="5673" width="34" style="18" customWidth="1"/>
    <col min="5674" max="5674" width="19" style="18" customWidth="1"/>
    <col min="5675" max="5675" width="20" style="18" bestFit="1" customWidth="1"/>
    <col min="5676" max="5676" width="20.28515625" style="18" bestFit="1" customWidth="1"/>
    <col min="5677" max="5677" width="26.7109375" style="18" customWidth="1"/>
    <col min="5678" max="5678" width="20.85546875" style="18" bestFit="1" customWidth="1"/>
    <col min="5679" max="5679" width="20.85546875" style="18" customWidth="1"/>
    <col min="5680" max="5680" width="18.85546875" style="18" customWidth="1"/>
    <col min="5681" max="5681" width="17.5703125" style="18" customWidth="1"/>
    <col min="5682" max="5683" width="19.42578125" style="18" customWidth="1"/>
    <col min="5684" max="5684" width="20.7109375" style="18" bestFit="1" customWidth="1"/>
    <col min="5685" max="5685" width="80.7109375" style="18" customWidth="1"/>
    <col min="5686" max="5686" width="14.7109375" style="18" bestFit="1" customWidth="1"/>
    <col min="5687" max="5687" width="18.140625" style="18" bestFit="1" customWidth="1"/>
    <col min="5688" max="5688" width="16.7109375" style="18" bestFit="1" customWidth="1"/>
    <col min="5689" max="5689" width="18.5703125" style="18" bestFit="1" customWidth="1"/>
    <col min="5690" max="5690" width="21.28515625" style="18" bestFit="1" customWidth="1"/>
    <col min="5691" max="5691" width="16.28515625" style="18" bestFit="1" customWidth="1"/>
    <col min="5692" max="5692" width="21.140625" style="18" bestFit="1" customWidth="1"/>
    <col min="5693" max="5693" width="19" style="18" bestFit="1" customWidth="1"/>
    <col min="5694" max="5694" width="19.140625" style="18" customWidth="1"/>
    <col min="5695" max="5695" width="16.7109375" style="18" customWidth="1"/>
    <col min="5696" max="5696" width="21.140625" style="18" bestFit="1" customWidth="1"/>
    <col min="5697" max="5697" width="20.42578125" style="18" bestFit="1" customWidth="1"/>
    <col min="5698" max="5698" width="21.140625" style="18" customWidth="1"/>
    <col min="5699" max="5699" width="20.5703125" style="18" bestFit="1" customWidth="1"/>
    <col min="5700" max="5700" width="19.7109375" style="18" bestFit="1" customWidth="1"/>
    <col min="5701" max="5701" width="20.28515625" style="18" customWidth="1"/>
    <col min="5702" max="5702" width="20.85546875" style="18" bestFit="1" customWidth="1"/>
    <col min="5703" max="5703" width="19.5703125" style="18" bestFit="1" customWidth="1"/>
    <col min="5704" max="5704" width="18" style="18" customWidth="1"/>
    <col min="5705" max="5705" width="20" style="18" bestFit="1" customWidth="1"/>
    <col min="5706" max="5706" width="35.7109375" style="18" customWidth="1"/>
    <col min="5707" max="5707" width="21.140625" style="18" bestFit="1" customWidth="1"/>
    <col min="5708" max="5708" width="20.5703125" style="18" bestFit="1" customWidth="1"/>
    <col min="5709" max="5709" width="19.42578125" style="18" bestFit="1" customWidth="1"/>
    <col min="5710" max="5710" width="18.5703125" style="18" bestFit="1" customWidth="1"/>
    <col min="5711" max="5711" width="20.5703125" style="18" bestFit="1" customWidth="1"/>
    <col min="5712" max="5712" width="21.28515625" style="18" bestFit="1" customWidth="1"/>
    <col min="5713" max="5713" width="15.42578125" style="18" customWidth="1"/>
    <col min="5714" max="5714" width="20.7109375" style="18" customWidth="1"/>
    <col min="5715" max="5715" width="21.28515625" style="18" customWidth="1"/>
    <col min="5716" max="5716" width="14.85546875" style="18" bestFit="1" customWidth="1"/>
    <col min="5717" max="5717" width="23" style="18" bestFit="1" customWidth="1"/>
    <col min="5718" max="5718" width="21.28515625" style="18" bestFit="1" customWidth="1"/>
    <col min="5719" max="5719" width="20.28515625" style="18" bestFit="1" customWidth="1"/>
    <col min="5720" max="5720" width="21" style="18" bestFit="1" customWidth="1"/>
    <col min="5721" max="5721" width="18.85546875" style="18" bestFit="1" customWidth="1"/>
    <col min="5722" max="5722" width="80.7109375" style="18" customWidth="1"/>
    <col min="5723" max="5910" width="9.140625" style="18"/>
    <col min="5911" max="5911" width="2.5703125" style="18" customWidth="1"/>
    <col min="5912" max="5912" width="17.85546875" style="18" customWidth="1"/>
    <col min="5913" max="5913" width="41.5703125" style="18" customWidth="1"/>
    <col min="5914" max="5915" width="12" style="18" customWidth="1"/>
    <col min="5916" max="5916" width="17" style="18" customWidth="1"/>
    <col min="5917" max="5917" width="9.7109375" style="18" customWidth="1"/>
    <col min="5918" max="5918" width="12.28515625" style="18" customWidth="1"/>
    <col min="5919" max="5919" width="13.7109375" style="18" customWidth="1"/>
    <col min="5920" max="5920" width="13.5703125" style="18" bestFit="1" customWidth="1"/>
    <col min="5921" max="5921" width="13.5703125" style="18" customWidth="1"/>
    <col min="5922" max="5922" width="21" style="18" customWidth="1"/>
    <col min="5923" max="5926" width="13.42578125" style="18" customWidth="1"/>
    <col min="5927" max="5928" width="19" style="18" customWidth="1"/>
    <col min="5929" max="5929" width="34" style="18" customWidth="1"/>
    <col min="5930" max="5930" width="19" style="18" customWidth="1"/>
    <col min="5931" max="5931" width="20" style="18" bestFit="1" customWidth="1"/>
    <col min="5932" max="5932" width="20.28515625" style="18" bestFit="1" customWidth="1"/>
    <col min="5933" max="5933" width="26.7109375" style="18" customWidth="1"/>
    <col min="5934" max="5934" width="20.85546875" style="18" bestFit="1" customWidth="1"/>
    <col min="5935" max="5935" width="20.85546875" style="18" customWidth="1"/>
    <col min="5936" max="5936" width="18.85546875" style="18" customWidth="1"/>
    <col min="5937" max="5937" width="17.5703125" style="18" customWidth="1"/>
    <col min="5938" max="5939" width="19.42578125" style="18" customWidth="1"/>
    <col min="5940" max="5940" width="20.7109375" style="18" bestFit="1" customWidth="1"/>
    <col min="5941" max="5941" width="80.7109375" style="18" customWidth="1"/>
    <col min="5942" max="5942" width="14.7109375" style="18" bestFit="1" customWidth="1"/>
    <col min="5943" max="5943" width="18.140625" style="18" bestFit="1" customWidth="1"/>
    <col min="5944" max="5944" width="16.7109375" style="18" bestFit="1" customWidth="1"/>
    <col min="5945" max="5945" width="18.5703125" style="18" bestFit="1" customWidth="1"/>
    <col min="5946" max="5946" width="21.28515625" style="18" bestFit="1" customWidth="1"/>
    <col min="5947" max="5947" width="16.28515625" style="18" bestFit="1" customWidth="1"/>
    <col min="5948" max="5948" width="21.140625" style="18" bestFit="1" customWidth="1"/>
    <col min="5949" max="5949" width="19" style="18" bestFit="1" customWidth="1"/>
    <col min="5950" max="5950" width="19.140625" style="18" customWidth="1"/>
    <col min="5951" max="5951" width="16.7109375" style="18" customWidth="1"/>
    <col min="5952" max="5952" width="21.140625" style="18" bestFit="1" customWidth="1"/>
    <col min="5953" max="5953" width="20.42578125" style="18" bestFit="1" customWidth="1"/>
    <col min="5954" max="5954" width="21.140625" style="18" customWidth="1"/>
    <col min="5955" max="5955" width="20.5703125" style="18" bestFit="1" customWidth="1"/>
    <col min="5956" max="5956" width="19.7109375" style="18" bestFit="1" customWidth="1"/>
    <col min="5957" max="5957" width="20.28515625" style="18" customWidth="1"/>
    <col min="5958" max="5958" width="20.85546875" style="18" bestFit="1" customWidth="1"/>
    <col min="5959" max="5959" width="19.5703125" style="18" bestFit="1" customWidth="1"/>
    <col min="5960" max="5960" width="18" style="18" customWidth="1"/>
    <col min="5961" max="5961" width="20" style="18" bestFit="1" customWidth="1"/>
    <col min="5962" max="5962" width="35.7109375" style="18" customWidth="1"/>
    <col min="5963" max="5963" width="21.140625" style="18" bestFit="1" customWidth="1"/>
    <col min="5964" max="5964" width="20.5703125" style="18" bestFit="1" customWidth="1"/>
    <col min="5965" max="5965" width="19.42578125" style="18" bestFit="1" customWidth="1"/>
    <col min="5966" max="5966" width="18.5703125" style="18" bestFit="1" customWidth="1"/>
    <col min="5967" max="5967" width="20.5703125" style="18" bestFit="1" customWidth="1"/>
    <col min="5968" max="5968" width="21.28515625" style="18" bestFit="1" customWidth="1"/>
    <col min="5969" max="5969" width="15.42578125" style="18" customWidth="1"/>
    <col min="5970" max="5970" width="20.7109375" style="18" customWidth="1"/>
    <col min="5971" max="5971" width="21.28515625" style="18" customWidth="1"/>
    <col min="5972" max="5972" width="14.85546875" style="18" bestFit="1" customWidth="1"/>
    <col min="5973" max="5973" width="23" style="18" bestFit="1" customWidth="1"/>
    <col min="5974" max="5974" width="21.28515625" style="18" bestFit="1" customWidth="1"/>
    <col min="5975" max="5975" width="20.28515625" style="18" bestFit="1" customWidth="1"/>
    <col min="5976" max="5976" width="21" style="18" bestFit="1" customWidth="1"/>
    <col min="5977" max="5977" width="18.85546875" style="18" bestFit="1" customWidth="1"/>
    <col min="5978" max="5978" width="80.7109375" style="18" customWidth="1"/>
    <col min="5979" max="6166" width="9.140625" style="18"/>
    <col min="6167" max="6167" width="2.5703125" style="18" customWidth="1"/>
    <col min="6168" max="6168" width="17.85546875" style="18" customWidth="1"/>
    <col min="6169" max="6169" width="41.5703125" style="18" customWidth="1"/>
    <col min="6170" max="6171" width="12" style="18" customWidth="1"/>
    <col min="6172" max="6172" width="17" style="18" customWidth="1"/>
    <col min="6173" max="6173" width="9.7109375" style="18" customWidth="1"/>
    <col min="6174" max="6174" width="12.28515625" style="18" customWidth="1"/>
    <col min="6175" max="6175" width="13.7109375" style="18" customWidth="1"/>
    <col min="6176" max="6176" width="13.5703125" style="18" bestFit="1" customWidth="1"/>
    <col min="6177" max="6177" width="13.5703125" style="18" customWidth="1"/>
    <col min="6178" max="6178" width="21" style="18" customWidth="1"/>
    <col min="6179" max="6182" width="13.42578125" style="18" customWidth="1"/>
    <col min="6183" max="6184" width="19" style="18" customWidth="1"/>
    <col min="6185" max="6185" width="34" style="18" customWidth="1"/>
    <col min="6186" max="6186" width="19" style="18" customWidth="1"/>
    <col min="6187" max="6187" width="20" style="18" bestFit="1" customWidth="1"/>
    <col min="6188" max="6188" width="20.28515625" style="18" bestFit="1" customWidth="1"/>
    <col min="6189" max="6189" width="26.7109375" style="18" customWidth="1"/>
    <col min="6190" max="6190" width="20.85546875" style="18" bestFit="1" customWidth="1"/>
    <col min="6191" max="6191" width="20.85546875" style="18" customWidth="1"/>
    <col min="6192" max="6192" width="18.85546875" style="18" customWidth="1"/>
    <col min="6193" max="6193" width="17.5703125" style="18" customWidth="1"/>
    <col min="6194" max="6195" width="19.42578125" style="18" customWidth="1"/>
    <col min="6196" max="6196" width="20.7109375" style="18" bestFit="1" customWidth="1"/>
    <col min="6197" max="6197" width="80.7109375" style="18" customWidth="1"/>
    <col min="6198" max="6198" width="14.7109375" style="18" bestFit="1" customWidth="1"/>
    <col min="6199" max="6199" width="18.140625" style="18" bestFit="1" customWidth="1"/>
    <col min="6200" max="6200" width="16.7109375" style="18" bestFit="1" customWidth="1"/>
    <col min="6201" max="6201" width="18.5703125" style="18" bestFit="1" customWidth="1"/>
    <col min="6202" max="6202" width="21.28515625" style="18" bestFit="1" customWidth="1"/>
    <col min="6203" max="6203" width="16.28515625" style="18" bestFit="1" customWidth="1"/>
    <col min="6204" max="6204" width="21.140625" style="18" bestFit="1" customWidth="1"/>
    <col min="6205" max="6205" width="19" style="18" bestFit="1" customWidth="1"/>
    <col min="6206" max="6206" width="19.140625" style="18" customWidth="1"/>
    <col min="6207" max="6207" width="16.7109375" style="18" customWidth="1"/>
    <col min="6208" max="6208" width="21.140625" style="18" bestFit="1" customWidth="1"/>
    <col min="6209" max="6209" width="20.42578125" style="18" bestFit="1" customWidth="1"/>
    <col min="6210" max="6210" width="21.140625" style="18" customWidth="1"/>
    <col min="6211" max="6211" width="20.5703125" style="18" bestFit="1" customWidth="1"/>
    <col min="6212" max="6212" width="19.7109375" style="18" bestFit="1" customWidth="1"/>
    <col min="6213" max="6213" width="20.28515625" style="18" customWidth="1"/>
    <col min="6214" max="6214" width="20.85546875" style="18" bestFit="1" customWidth="1"/>
    <col min="6215" max="6215" width="19.5703125" style="18" bestFit="1" customWidth="1"/>
    <col min="6216" max="6216" width="18" style="18" customWidth="1"/>
    <col min="6217" max="6217" width="20" style="18" bestFit="1" customWidth="1"/>
    <col min="6218" max="6218" width="35.7109375" style="18" customWidth="1"/>
    <col min="6219" max="6219" width="21.140625" style="18" bestFit="1" customWidth="1"/>
    <col min="6220" max="6220" width="20.5703125" style="18" bestFit="1" customWidth="1"/>
    <col min="6221" max="6221" width="19.42578125" style="18" bestFit="1" customWidth="1"/>
    <col min="6222" max="6222" width="18.5703125" style="18" bestFit="1" customWidth="1"/>
    <col min="6223" max="6223" width="20.5703125" style="18" bestFit="1" customWidth="1"/>
    <col min="6224" max="6224" width="21.28515625" style="18" bestFit="1" customWidth="1"/>
    <col min="6225" max="6225" width="15.42578125" style="18" customWidth="1"/>
    <col min="6226" max="6226" width="20.7109375" style="18" customWidth="1"/>
    <col min="6227" max="6227" width="21.28515625" style="18" customWidth="1"/>
    <col min="6228" max="6228" width="14.85546875" style="18" bestFit="1" customWidth="1"/>
    <col min="6229" max="6229" width="23" style="18" bestFit="1" customWidth="1"/>
    <col min="6230" max="6230" width="21.28515625" style="18" bestFit="1" customWidth="1"/>
    <col min="6231" max="6231" width="20.28515625" style="18" bestFit="1" customWidth="1"/>
    <col min="6232" max="6232" width="21" style="18" bestFit="1" customWidth="1"/>
    <col min="6233" max="6233" width="18.85546875" style="18" bestFit="1" customWidth="1"/>
    <col min="6234" max="6234" width="80.7109375" style="18" customWidth="1"/>
    <col min="6235" max="6422" width="9.140625" style="18"/>
    <col min="6423" max="6423" width="2.5703125" style="18" customWidth="1"/>
    <col min="6424" max="6424" width="17.85546875" style="18" customWidth="1"/>
    <col min="6425" max="6425" width="41.5703125" style="18" customWidth="1"/>
    <col min="6426" max="6427" width="12" style="18" customWidth="1"/>
    <col min="6428" max="6428" width="17" style="18" customWidth="1"/>
    <col min="6429" max="6429" width="9.7109375" style="18" customWidth="1"/>
    <col min="6430" max="6430" width="12.28515625" style="18" customWidth="1"/>
    <col min="6431" max="6431" width="13.7109375" style="18" customWidth="1"/>
    <col min="6432" max="6432" width="13.5703125" style="18" bestFit="1" customWidth="1"/>
    <col min="6433" max="6433" width="13.5703125" style="18" customWidth="1"/>
    <col min="6434" max="6434" width="21" style="18" customWidth="1"/>
    <col min="6435" max="6438" width="13.42578125" style="18" customWidth="1"/>
    <col min="6439" max="6440" width="19" style="18" customWidth="1"/>
    <col min="6441" max="6441" width="34" style="18" customWidth="1"/>
    <col min="6442" max="6442" width="19" style="18" customWidth="1"/>
    <col min="6443" max="6443" width="20" style="18" bestFit="1" customWidth="1"/>
    <col min="6444" max="6444" width="20.28515625" style="18" bestFit="1" customWidth="1"/>
    <col min="6445" max="6445" width="26.7109375" style="18" customWidth="1"/>
    <col min="6446" max="6446" width="20.85546875" style="18" bestFit="1" customWidth="1"/>
    <col min="6447" max="6447" width="20.85546875" style="18" customWidth="1"/>
    <col min="6448" max="6448" width="18.85546875" style="18" customWidth="1"/>
    <col min="6449" max="6449" width="17.5703125" style="18" customWidth="1"/>
    <col min="6450" max="6451" width="19.42578125" style="18" customWidth="1"/>
    <col min="6452" max="6452" width="20.7109375" style="18" bestFit="1" customWidth="1"/>
    <col min="6453" max="6453" width="80.7109375" style="18" customWidth="1"/>
    <col min="6454" max="6454" width="14.7109375" style="18" bestFit="1" customWidth="1"/>
    <col min="6455" max="6455" width="18.140625" style="18" bestFit="1" customWidth="1"/>
    <col min="6456" max="6456" width="16.7109375" style="18" bestFit="1" customWidth="1"/>
    <col min="6457" max="6457" width="18.5703125" style="18" bestFit="1" customWidth="1"/>
    <col min="6458" max="6458" width="21.28515625" style="18" bestFit="1" customWidth="1"/>
    <col min="6459" max="6459" width="16.28515625" style="18" bestFit="1" customWidth="1"/>
    <col min="6460" max="6460" width="21.140625" style="18" bestFit="1" customWidth="1"/>
    <col min="6461" max="6461" width="19" style="18" bestFit="1" customWidth="1"/>
    <col min="6462" max="6462" width="19.140625" style="18" customWidth="1"/>
    <col min="6463" max="6463" width="16.7109375" style="18" customWidth="1"/>
    <col min="6464" max="6464" width="21.140625" style="18" bestFit="1" customWidth="1"/>
    <col min="6465" max="6465" width="20.42578125" style="18" bestFit="1" customWidth="1"/>
    <col min="6466" max="6466" width="21.140625" style="18" customWidth="1"/>
    <col min="6467" max="6467" width="20.5703125" style="18" bestFit="1" customWidth="1"/>
    <col min="6468" max="6468" width="19.7109375" style="18" bestFit="1" customWidth="1"/>
    <col min="6469" max="6469" width="20.28515625" style="18" customWidth="1"/>
    <col min="6470" max="6470" width="20.85546875" style="18" bestFit="1" customWidth="1"/>
    <col min="6471" max="6471" width="19.5703125" style="18" bestFit="1" customWidth="1"/>
    <col min="6472" max="6472" width="18" style="18" customWidth="1"/>
    <col min="6473" max="6473" width="20" style="18" bestFit="1" customWidth="1"/>
    <col min="6474" max="6474" width="35.7109375" style="18" customWidth="1"/>
    <col min="6475" max="6475" width="21.140625" style="18" bestFit="1" customWidth="1"/>
    <col min="6476" max="6476" width="20.5703125" style="18" bestFit="1" customWidth="1"/>
    <col min="6477" max="6477" width="19.42578125" style="18" bestFit="1" customWidth="1"/>
    <col min="6478" max="6478" width="18.5703125" style="18" bestFit="1" customWidth="1"/>
    <col min="6479" max="6479" width="20.5703125" style="18" bestFit="1" customWidth="1"/>
    <col min="6480" max="6480" width="21.28515625" style="18" bestFit="1" customWidth="1"/>
    <col min="6481" max="6481" width="15.42578125" style="18" customWidth="1"/>
    <col min="6482" max="6482" width="20.7109375" style="18" customWidth="1"/>
    <col min="6483" max="6483" width="21.28515625" style="18" customWidth="1"/>
    <col min="6484" max="6484" width="14.85546875" style="18" bestFit="1" customWidth="1"/>
    <col min="6485" max="6485" width="23" style="18" bestFit="1" customWidth="1"/>
    <col min="6486" max="6486" width="21.28515625" style="18" bestFit="1" customWidth="1"/>
    <col min="6487" max="6487" width="20.28515625" style="18" bestFit="1" customWidth="1"/>
    <col min="6488" max="6488" width="21" style="18" bestFit="1" customWidth="1"/>
    <col min="6489" max="6489" width="18.85546875" style="18" bestFit="1" customWidth="1"/>
    <col min="6490" max="6490" width="80.7109375" style="18" customWidth="1"/>
    <col min="6491" max="6678" width="9.140625" style="18"/>
    <col min="6679" max="6679" width="2.5703125" style="18" customWidth="1"/>
    <col min="6680" max="6680" width="17.85546875" style="18" customWidth="1"/>
    <col min="6681" max="6681" width="41.5703125" style="18" customWidth="1"/>
    <col min="6682" max="6683" width="12" style="18" customWidth="1"/>
    <col min="6684" max="6684" width="17" style="18" customWidth="1"/>
    <col min="6685" max="6685" width="9.7109375" style="18" customWidth="1"/>
    <col min="6686" max="6686" width="12.28515625" style="18" customWidth="1"/>
    <col min="6687" max="6687" width="13.7109375" style="18" customWidth="1"/>
    <col min="6688" max="6688" width="13.5703125" style="18" bestFit="1" customWidth="1"/>
    <col min="6689" max="6689" width="13.5703125" style="18" customWidth="1"/>
    <col min="6690" max="6690" width="21" style="18" customWidth="1"/>
    <col min="6691" max="6694" width="13.42578125" style="18" customWidth="1"/>
    <col min="6695" max="6696" width="19" style="18" customWidth="1"/>
    <col min="6697" max="6697" width="34" style="18" customWidth="1"/>
    <col min="6698" max="6698" width="19" style="18" customWidth="1"/>
    <col min="6699" max="6699" width="20" style="18" bestFit="1" customWidth="1"/>
    <col min="6700" max="6700" width="20.28515625" style="18" bestFit="1" customWidth="1"/>
    <col min="6701" max="6701" width="26.7109375" style="18" customWidth="1"/>
    <col min="6702" max="6702" width="20.85546875" style="18" bestFit="1" customWidth="1"/>
    <col min="6703" max="6703" width="20.85546875" style="18" customWidth="1"/>
    <col min="6704" max="6704" width="18.85546875" style="18" customWidth="1"/>
    <col min="6705" max="6705" width="17.5703125" style="18" customWidth="1"/>
    <col min="6706" max="6707" width="19.42578125" style="18" customWidth="1"/>
    <col min="6708" max="6708" width="20.7109375" style="18" bestFit="1" customWidth="1"/>
    <col min="6709" max="6709" width="80.7109375" style="18" customWidth="1"/>
    <col min="6710" max="6710" width="14.7109375" style="18" bestFit="1" customWidth="1"/>
    <col min="6711" max="6711" width="18.140625" style="18" bestFit="1" customWidth="1"/>
    <col min="6712" max="6712" width="16.7109375" style="18" bestFit="1" customWidth="1"/>
    <col min="6713" max="6713" width="18.5703125" style="18" bestFit="1" customWidth="1"/>
    <col min="6714" max="6714" width="21.28515625" style="18" bestFit="1" customWidth="1"/>
    <col min="6715" max="6715" width="16.28515625" style="18" bestFit="1" customWidth="1"/>
    <col min="6716" max="6716" width="21.140625" style="18" bestFit="1" customWidth="1"/>
    <col min="6717" max="6717" width="19" style="18" bestFit="1" customWidth="1"/>
    <col min="6718" max="6718" width="19.140625" style="18" customWidth="1"/>
    <col min="6719" max="6719" width="16.7109375" style="18" customWidth="1"/>
    <col min="6720" max="6720" width="21.140625" style="18" bestFit="1" customWidth="1"/>
    <col min="6721" max="6721" width="20.42578125" style="18" bestFit="1" customWidth="1"/>
    <col min="6722" max="6722" width="21.140625" style="18" customWidth="1"/>
    <col min="6723" max="6723" width="20.5703125" style="18" bestFit="1" customWidth="1"/>
    <col min="6724" max="6724" width="19.7109375" style="18" bestFit="1" customWidth="1"/>
    <col min="6725" max="6725" width="20.28515625" style="18" customWidth="1"/>
    <col min="6726" max="6726" width="20.85546875" style="18" bestFit="1" customWidth="1"/>
    <col min="6727" max="6727" width="19.5703125" style="18" bestFit="1" customWidth="1"/>
    <col min="6728" max="6728" width="18" style="18" customWidth="1"/>
    <col min="6729" max="6729" width="20" style="18" bestFit="1" customWidth="1"/>
    <col min="6730" max="6730" width="35.7109375" style="18" customWidth="1"/>
    <col min="6731" max="6731" width="21.140625" style="18" bestFit="1" customWidth="1"/>
    <col min="6732" max="6732" width="20.5703125" style="18" bestFit="1" customWidth="1"/>
    <col min="6733" max="6733" width="19.42578125" style="18" bestFit="1" customWidth="1"/>
    <col min="6734" max="6734" width="18.5703125" style="18" bestFit="1" customWidth="1"/>
    <col min="6735" max="6735" width="20.5703125" style="18" bestFit="1" customWidth="1"/>
    <col min="6736" max="6736" width="21.28515625" style="18" bestFit="1" customWidth="1"/>
    <col min="6737" max="6737" width="15.42578125" style="18" customWidth="1"/>
    <col min="6738" max="6738" width="20.7109375" style="18" customWidth="1"/>
    <col min="6739" max="6739" width="21.28515625" style="18" customWidth="1"/>
    <col min="6740" max="6740" width="14.85546875" style="18" bestFit="1" customWidth="1"/>
    <col min="6741" max="6741" width="23" style="18" bestFit="1" customWidth="1"/>
    <col min="6742" max="6742" width="21.28515625" style="18" bestFit="1" customWidth="1"/>
    <col min="6743" max="6743" width="20.28515625" style="18" bestFit="1" customWidth="1"/>
    <col min="6744" max="6744" width="21" style="18" bestFit="1" customWidth="1"/>
    <col min="6745" max="6745" width="18.85546875" style="18" bestFit="1" customWidth="1"/>
    <col min="6746" max="6746" width="80.7109375" style="18" customWidth="1"/>
    <col min="6747" max="6934" width="9.140625" style="18"/>
    <col min="6935" max="6935" width="2.5703125" style="18" customWidth="1"/>
    <col min="6936" max="6936" width="17.85546875" style="18" customWidth="1"/>
    <col min="6937" max="6937" width="41.5703125" style="18" customWidth="1"/>
    <col min="6938" max="6939" width="12" style="18" customWidth="1"/>
    <col min="6940" max="6940" width="17" style="18" customWidth="1"/>
    <col min="6941" max="6941" width="9.7109375" style="18" customWidth="1"/>
    <col min="6942" max="6942" width="12.28515625" style="18" customWidth="1"/>
    <col min="6943" max="6943" width="13.7109375" style="18" customWidth="1"/>
    <col min="6944" max="6944" width="13.5703125" style="18" bestFit="1" customWidth="1"/>
    <col min="6945" max="6945" width="13.5703125" style="18" customWidth="1"/>
    <col min="6946" max="6946" width="21" style="18" customWidth="1"/>
    <col min="6947" max="6950" width="13.42578125" style="18" customWidth="1"/>
    <col min="6951" max="6952" width="19" style="18" customWidth="1"/>
    <col min="6953" max="6953" width="34" style="18" customWidth="1"/>
    <col min="6954" max="6954" width="19" style="18" customWidth="1"/>
    <col min="6955" max="6955" width="20" style="18" bestFit="1" customWidth="1"/>
    <col min="6956" max="6956" width="20.28515625" style="18" bestFit="1" customWidth="1"/>
    <col min="6957" max="6957" width="26.7109375" style="18" customWidth="1"/>
    <col min="6958" max="6958" width="20.85546875" style="18" bestFit="1" customWidth="1"/>
    <col min="6959" max="6959" width="20.85546875" style="18" customWidth="1"/>
    <col min="6960" max="6960" width="18.85546875" style="18" customWidth="1"/>
    <col min="6961" max="6961" width="17.5703125" style="18" customWidth="1"/>
    <col min="6962" max="6963" width="19.42578125" style="18" customWidth="1"/>
    <col min="6964" max="6964" width="20.7109375" style="18" bestFit="1" customWidth="1"/>
    <col min="6965" max="6965" width="80.7109375" style="18" customWidth="1"/>
    <col min="6966" max="6966" width="14.7109375" style="18" bestFit="1" customWidth="1"/>
    <col min="6967" max="6967" width="18.140625" style="18" bestFit="1" customWidth="1"/>
    <col min="6968" max="6968" width="16.7109375" style="18" bestFit="1" customWidth="1"/>
    <col min="6969" max="6969" width="18.5703125" style="18" bestFit="1" customWidth="1"/>
    <col min="6970" max="6970" width="21.28515625" style="18" bestFit="1" customWidth="1"/>
    <col min="6971" max="6971" width="16.28515625" style="18" bestFit="1" customWidth="1"/>
    <col min="6972" max="6972" width="21.140625" style="18" bestFit="1" customWidth="1"/>
    <col min="6973" max="6973" width="19" style="18" bestFit="1" customWidth="1"/>
    <col min="6974" max="6974" width="19.140625" style="18" customWidth="1"/>
    <col min="6975" max="6975" width="16.7109375" style="18" customWidth="1"/>
    <col min="6976" max="6976" width="21.140625" style="18" bestFit="1" customWidth="1"/>
    <col min="6977" max="6977" width="20.42578125" style="18" bestFit="1" customWidth="1"/>
    <col min="6978" max="6978" width="21.140625" style="18" customWidth="1"/>
    <col min="6979" max="6979" width="20.5703125" style="18" bestFit="1" customWidth="1"/>
    <col min="6980" max="6980" width="19.7109375" style="18" bestFit="1" customWidth="1"/>
    <col min="6981" max="6981" width="20.28515625" style="18" customWidth="1"/>
    <col min="6982" max="6982" width="20.85546875" style="18" bestFit="1" customWidth="1"/>
    <col min="6983" max="6983" width="19.5703125" style="18" bestFit="1" customWidth="1"/>
    <col min="6984" max="6984" width="18" style="18" customWidth="1"/>
    <col min="6985" max="6985" width="20" style="18" bestFit="1" customWidth="1"/>
    <col min="6986" max="6986" width="35.7109375" style="18" customWidth="1"/>
    <col min="6987" max="6987" width="21.140625" style="18" bestFit="1" customWidth="1"/>
    <col min="6988" max="6988" width="20.5703125" style="18" bestFit="1" customWidth="1"/>
    <col min="6989" max="6989" width="19.42578125" style="18" bestFit="1" customWidth="1"/>
    <col min="6990" max="6990" width="18.5703125" style="18" bestFit="1" customWidth="1"/>
    <col min="6991" max="6991" width="20.5703125" style="18" bestFit="1" customWidth="1"/>
    <col min="6992" max="6992" width="21.28515625" style="18" bestFit="1" customWidth="1"/>
    <col min="6993" max="6993" width="15.42578125" style="18" customWidth="1"/>
    <col min="6994" max="6994" width="20.7109375" style="18" customWidth="1"/>
    <col min="6995" max="6995" width="21.28515625" style="18" customWidth="1"/>
    <col min="6996" max="6996" width="14.85546875" style="18" bestFit="1" customWidth="1"/>
    <col min="6997" max="6997" width="23" style="18" bestFit="1" customWidth="1"/>
    <col min="6998" max="6998" width="21.28515625" style="18" bestFit="1" customWidth="1"/>
    <col min="6999" max="6999" width="20.28515625" style="18" bestFit="1" customWidth="1"/>
    <col min="7000" max="7000" width="21" style="18" bestFit="1" customWidth="1"/>
    <col min="7001" max="7001" width="18.85546875" style="18" bestFit="1" customWidth="1"/>
    <col min="7002" max="7002" width="80.7109375" style="18" customWidth="1"/>
    <col min="7003" max="7190" width="9.140625" style="18"/>
    <col min="7191" max="7191" width="2.5703125" style="18" customWidth="1"/>
    <col min="7192" max="7192" width="17.85546875" style="18" customWidth="1"/>
    <col min="7193" max="7193" width="41.5703125" style="18" customWidth="1"/>
    <col min="7194" max="7195" width="12" style="18" customWidth="1"/>
    <col min="7196" max="7196" width="17" style="18" customWidth="1"/>
    <col min="7197" max="7197" width="9.7109375" style="18" customWidth="1"/>
    <col min="7198" max="7198" width="12.28515625" style="18" customWidth="1"/>
    <col min="7199" max="7199" width="13.7109375" style="18" customWidth="1"/>
    <col min="7200" max="7200" width="13.5703125" style="18" bestFit="1" customWidth="1"/>
    <col min="7201" max="7201" width="13.5703125" style="18" customWidth="1"/>
    <col min="7202" max="7202" width="21" style="18" customWidth="1"/>
    <col min="7203" max="7206" width="13.42578125" style="18" customWidth="1"/>
    <col min="7207" max="7208" width="19" style="18" customWidth="1"/>
    <col min="7209" max="7209" width="34" style="18" customWidth="1"/>
    <col min="7210" max="7210" width="19" style="18" customWidth="1"/>
    <col min="7211" max="7211" width="20" style="18" bestFit="1" customWidth="1"/>
    <col min="7212" max="7212" width="20.28515625" style="18" bestFit="1" customWidth="1"/>
    <col min="7213" max="7213" width="26.7109375" style="18" customWidth="1"/>
    <col min="7214" max="7214" width="20.85546875" style="18" bestFit="1" customWidth="1"/>
    <col min="7215" max="7215" width="20.85546875" style="18" customWidth="1"/>
    <col min="7216" max="7216" width="18.85546875" style="18" customWidth="1"/>
    <col min="7217" max="7217" width="17.5703125" style="18" customWidth="1"/>
    <col min="7218" max="7219" width="19.42578125" style="18" customWidth="1"/>
    <col min="7220" max="7220" width="20.7109375" style="18" bestFit="1" customWidth="1"/>
    <col min="7221" max="7221" width="80.7109375" style="18" customWidth="1"/>
    <col min="7222" max="7222" width="14.7109375" style="18" bestFit="1" customWidth="1"/>
    <col min="7223" max="7223" width="18.140625" style="18" bestFit="1" customWidth="1"/>
    <col min="7224" max="7224" width="16.7109375" style="18" bestFit="1" customWidth="1"/>
    <col min="7225" max="7225" width="18.5703125" style="18" bestFit="1" customWidth="1"/>
    <col min="7226" max="7226" width="21.28515625" style="18" bestFit="1" customWidth="1"/>
    <col min="7227" max="7227" width="16.28515625" style="18" bestFit="1" customWidth="1"/>
    <col min="7228" max="7228" width="21.140625" style="18" bestFit="1" customWidth="1"/>
    <col min="7229" max="7229" width="19" style="18" bestFit="1" customWidth="1"/>
    <col min="7230" max="7230" width="19.140625" style="18" customWidth="1"/>
    <col min="7231" max="7231" width="16.7109375" style="18" customWidth="1"/>
    <col min="7232" max="7232" width="21.140625" style="18" bestFit="1" customWidth="1"/>
    <col min="7233" max="7233" width="20.42578125" style="18" bestFit="1" customWidth="1"/>
    <col min="7234" max="7234" width="21.140625" style="18" customWidth="1"/>
    <col min="7235" max="7235" width="20.5703125" style="18" bestFit="1" customWidth="1"/>
    <col min="7236" max="7236" width="19.7109375" style="18" bestFit="1" customWidth="1"/>
    <col min="7237" max="7237" width="20.28515625" style="18" customWidth="1"/>
    <col min="7238" max="7238" width="20.85546875" style="18" bestFit="1" customWidth="1"/>
    <col min="7239" max="7239" width="19.5703125" style="18" bestFit="1" customWidth="1"/>
    <col min="7240" max="7240" width="18" style="18" customWidth="1"/>
    <col min="7241" max="7241" width="20" style="18" bestFit="1" customWidth="1"/>
    <col min="7242" max="7242" width="35.7109375" style="18" customWidth="1"/>
    <col min="7243" max="7243" width="21.140625" style="18" bestFit="1" customWidth="1"/>
    <col min="7244" max="7244" width="20.5703125" style="18" bestFit="1" customWidth="1"/>
    <col min="7245" max="7245" width="19.42578125" style="18" bestFit="1" customWidth="1"/>
    <col min="7246" max="7246" width="18.5703125" style="18" bestFit="1" customWidth="1"/>
    <col min="7247" max="7247" width="20.5703125" style="18" bestFit="1" customWidth="1"/>
    <col min="7248" max="7248" width="21.28515625" style="18" bestFit="1" customWidth="1"/>
    <col min="7249" max="7249" width="15.42578125" style="18" customWidth="1"/>
    <col min="7250" max="7250" width="20.7109375" style="18" customWidth="1"/>
    <col min="7251" max="7251" width="21.28515625" style="18" customWidth="1"/>
    <col min="7252" max="7252" width="14.85546875" style="18" bestFit="1" customWidth="1"/>
    <col min="7253" max="7253" width="23" style="18" bestFit="1" customWidth="1"/>
    <col min="7254" max="7254" width="21.28515625" style="18" bestFit="1" customWidth="1"/>
    <col min="7255" max="7255" width="20.28515625" style="18" bestFit="1" customWidth="1"/>
    <col min="7256" max="7256" width="21" style="18" bestFit="1" customWidth="1"/>
    <col min="7257" max="7257" width="18.85546875" style="18" bestFit="1" customWidth="1"/>
    <col min="7258" max="7258" width="80.7109375" style="18" customWidth="1"/>
    <col min="7259" max="7446" width="9.140625" style="18"/>
    <col min="7447" max="7447" width="2.5703125" style="18" customWidth="1"/>
    <col min="7448" max="7448" width="17.85546875" style="18" customWidth="1"/>
    <col min="7449" max="7449" width="41.5703125" style="18" customWidth="1"/>
    <col min="7450" max="7451" width="12" style="18" customWidth="1"/>
    <col min="7452" max="7452" width="17" style="18" customWidth="1"/>
    <col min="7453" max="7453" width="9.7109375" style="18" customWidth="1"/>
    <col min="7454" max="7454" width="12.28515625" style="18" customWidth="1"/>
    <col min="7455" max="7455" width="13.7109375" style="18" customWidth="1"/>
    <col min="7456" max="7456" width="13.5703125" style="18" bestFit="1" customWidth="1"/>
    <col min="7457" max="7457" width="13.5703125" style="18" customWidth="1"/>
    <col min="7458" max="7458" width="21" style="18" customWidth="1"/>
    <col min="7459" max="7462" width="13.42578125" style="18" customWidth="1"/>
    <col min="7463" max="7464" width="19" style="18" customWidth="1"/>
    <col min="7465" max="7465" width="34" style="18" customWidth="1"/>
    <col min="7466" max="7466" width="19" style="18" customWidth="1"/>
    <col min="7467" max="7467" width="20" style="18" bestFit="1" customWidth="1"/>
    <col min="7468" max="7468" width="20.28515625" style="18" bestFit="1" customWidth="1"/>
    <col min="7469" max="7469" width="26.7109375" style="18" customWidth="1"/>
    <col min="7470" max="7470" width="20.85546875" style="18" bestFit="1" customWidth="1"/>
    <col min="7471" max="7471" width="20.85546875" style="18" customWidth="1"/>
    <col min="7472" max="7472" width="18.85546875" style="18" customWidth="1"/>
    <col min="7473" max="7473" width="17.5703125" style="18" customWidth="1"/>
    <col min="7474" max="7475" width="19.42578125" style="18" customWidth="1"/>
    <col min="7476" max="7476" width="20.7109375" style="18" bestFit="1" customWidth="1"/>
    <col min="7477" max="7477" width="80.7109375" style="18" customWidth="1"/>
    <col min="7478" max="7478" width="14.7109375" style="18" bestFit="1" customWidth="1"/>
    <col min="7479" max="7479" width="18.140625" style="18" bestFit="1" customWidth="1"/>
    <col min="7480" max="7480" width="16.7109375" style="18" bestFit="1" customWidth="1"/>
    <col min="7481" max="7481" width="18.5703125" style="18" bestFit="1" customWidth="1"/>
    <col min="7482" max="7482" width="21.28515625" style="18" bestFit="1" customWidth="1"/>
    <col min="7483" max="7483" width="16.28515625" style="18" bestFit="1" customWidth="1"/>
    <col min="7484" max="7484" width="21.140625" style="18" bestFit="1" customWidth="1"/>
    <col min="7485" max="7485" width="19" style="18" bestFit="1" customWidth="1"/>
    <col min="7486" max="7486" width="19.140625" style="18" customWidth="1"/>
    <col min="7487" max="7487" width="16.7109375" style="18" customWidth="1"/>
    <col min="7488" max="7488" width="21.140625" style="18" bestFit="1" customWidth="1"/>
    <col min="7489" max="7489" width="20.42578125" style="18" bestFit="1" customWidth="1"/>
    <col min="7490" max="7490" width="21.140625" style="18" customWidth="1"/>
    <col min="7491" max="7491" width="20.5703125" style="18" bestFit="1" customWidth="1"/>
    <col min="7492" max="7492" width="19.7109375" style="18" bestFit="1" customWidth="1"/>
    <col min="7493" max="7493" width="20.28515625" style="18" customWidth="1"/>
    <col min="7494" max="7494" width="20.85546875" style="18" bestFit="1" customWidth="1"/>
    <col min="7495" max="7495" width="19.5703125" style="18" bestFit="1" customWidth="1"/>
    <col min="7496" max="7496" width="18" style="18" customWidth="1"/>
    <col min="7497" max="7497" width="20" style="18" bestFit="1" customWidth="1"/>
    <col min="7498" max="7498" width="35.7109375" style="18" customWidth="1"/>
    <col min="7499" max="7499" width="21.140625" style="18" bestFit="1" customWidth="1"/>
    <col min="7500" max="7500" width="20.5703125" style="18" bestFit="1" customWidth="1"/>
    <col min="7501" max="7501" width="19.42578125" style="18" bestFit="1" customWidth="1"/>
    <col min="7502" max="7502" width="18.5703125" style="18" bestFit="1" customWidth="1"/>
    <col min="7503" max="7503" width="20.5703125" style="18" bestFit="1" customWidth="1"/>
    <col min="7504" max="7504" width="21.28515625" style="18" bestFit="1" customWidth="1"/>
    <col min="7505" max="7505" width="15.42578125" style="18" customWidth="1"/>
    <col min="7506" max="7506" width="20.7109375" style="18" customWidth="1"/>
    <col min="7507" max="7507" width="21.28515625" style="18" customWidth="1"/>
    <col min="7508" max="7508" width="14.85546875" style="18" bestFit="1" customWidth="1"/>
    <col min="7509" max="7509" width="23" style="18" bestFit="1" customWidth="1"/>
    <col min="7510" max="7510" width="21.28515625" style="18" bestFit="1" customWidth="1"/>
    <col min="7511" max="7511" width="20.28515625" style="18" bestFit="1" customWidth="1"/>
    <col min="7512" max="7512" width="21" style="18" bestFit="1" customWidth="1"/>
    <col min="7513" max="7513" width="18.85546875" style="18" bestFit="1" customWidth="1"/>
    <col min="7514" max="7514" width="80.7109375" style="18" customWidth="1"/>
    <col min="7515" max="7702" width="9.140625" style="18"/>
    <col min="7703" max="7703" width="2.5703125" style="18" customWidth="1"/>
    <col min="7704" max="7704" width="17.85546875" style="18" customWidth="1"/>
    <col min="7705" max="7705" width="41.5703125" style="18" customWidth="1"/>
    <col min="7706" max="7707" width="12" style="18" customWidth="1"/>
    <col min="7708" max="7708" width="17" style="18" customWidth="1"/>
    <col min="7709" max="7709" width="9.7109375" style="18" customWidth="1"/>
    <col min="7710" max="7710" width="12.28515625" style="18" customWidth="1"/>
    <col min="7711" max="7711" width="13.7109375" style="18" customWidth="1"/>
    <col min="7712" max="7712" width="13.5703125" style="18" bestFit="1" customWidth="1"/>
    <col min="7713" max="7713" width="13.5703125" style="18" customWidth="1"/>
    <col min="7714" max="7714" width="21" style="18" customWidth="1"/>
    <col min="7715" max="7718" width="13.42578125" style="18" customWidth="1"/>
    <col min="7719" max="7720" width="19" style="18" customWidth="1"/>
    <col min="7721" max="7721" width="34" style="18" customWidth="1"/>
    <col min="7722" max="7722" width="19" style="18" customWidth="1"/>
    <col min="7723" max="7723" width="20" style="18" bestFit="1" customWidth="1"/>
    <col min="7724" max="7724" width="20.28515625" style="18" bestFit="1" customWidth="1"/>
    <col min="7725" max="7725" width="26.7109375" style="18" customWidth="1"/>
    <col min="7726" max="7726" width="20.85546875" style="18" bestFit="1" customWidth="1"/>
    <col min="7727" max="7727" width="20.85546875" style="18" customWidth="1"/>
    <col min="7728" max="7728" width="18.85546875" style="18" customWidth="1"/>
    <col min="7729" max="7729" width="17.5703125" style="18" customWidth="1"/>
    <col min="7730" max="7731" width="19.42578125" style="18" customWidth="1"/>
    <col min="7732" max="7732" width="20.7109375" style="18" bestFit="1" customWidth="1"/>
    <col min="7733" max="7733" width="80.7109375" style="18" customWidth="1"/>
    <col min="7734" max="7734" width="14.7109375" style="18" bestFit="1" customWidth="1"/>
    <col min="7735" max="7735" width="18.140625" style="18" bestFit="1" customWidth="1"/>
    <col min="7736" max="7736" width="16.7109375" style="18" bestFit="1" customWidth="1"/>
    <col min="7737" max="7737" width="18.5703125" style="18" bestFit="1" customWidth="1"/>
    <col min="7738" max="7738" width="21.28515625" style="18" bestFit="1" customWidth="1"/>
    <col min="7739" max="7739" width="16.28515625" style="18" bestFit="1" customWidth="1"/>
    <col min="7740" max="7740" width="21.140625" style="18" bestFit="1" customWidth="1"/>
    <col min="7741" max="7741" width="19" style="18" bestFit="1" customWidth="1"/>
    <col min="7742" max="7742" width="19.140625" style="18" customWidth="1"/>
    <col min="7743" max="7743" width="16.7109375" style="18" customWidth="1"/>
    <col min="7744" max="7744" width="21.140625" style="18" bestFit="1" customWidth="1"/>
    <col min="7745" max="7745" width="20.42578125" style="18" bestFit="1" customWidth="1"/>
    <col min="7746" max="7746" width="21.140625" style="18" customWidth="1"/>
    <col min="7747" max="7747" width="20.5703125" style="18" bestFit="1" customWidth="1"/>
    <col min="7748" max="7748" width="19.7109375" style="18" bestFit="1" customWidth="1"/>
    <col min="7749" max="7749" width="20.28515625" style="18" customWidth="1"/>
    <col min="7750" max="7750" width="20.85546875" style="18" bestFit="1" customWidth="1"/>
    <col min="7751" max="7751" width="19.5703125" style="18" bestFit="1" customWidth="1"/>
    <col min="7752" max="7752" width="18" style="18" customWidth="1"/>
    <col min="7753" max="7753" width="20" style="18" bestFit="1" customWidth="1"/>
    <col min="7754" max="7754" width="35.7109375" style="18" customWidth="1"/>
    <col min="7755" max="7755" width="21.140625" style="18" bestFit="1" customWidth="1"/>
    <col min="7756" max="7756" width="20.5703125" style="18" bestFit="1" customWidth="1"/>
    <col min="7757" max="7757" width="19.42578125" style="18" bestFit="1" customWidth="1"/>
    <col min="7758" max="7758" width="18.5703125" style="18" bestFit="1" customWidth="1"/>
    <col min="7759" max="7759" width="20.5703125" style="18" bestFit="1" customWidth="1"/>
    <col min="7760" max="7760" width="21.28515625" style="18" bestFit="1" customWidth="1"/>
    <col min="7761" max="7761" width="15.42578125" style="18" customWidth="1"/>
    <col min="7762" max="7762" width="20.7109375" style="18" customWidth="1"/>
    <col min="7763" max="7763" width="21.28515625" style="18" customWidth="1"/>
    <col min="7764" max="7764" width="14.85546875" style="18" bestFit="1" customWidth="1"/>
    <col min="7765" max="7765" width="23" style="18" bestFit="1" customWidth="1"/>
    <col min="7766" max="7766" width="21.28515625" style="18" bestFit="1" customWidth="1"/>
    <col min="7767" max="7767" width="20.28515625" style="18" bestFit="1" customWidth="1"/>
    <col min="7768" max="7768" width="21" style="18" bestFit="1" customWidth="1"/>
    <col min="7769" max="7769" width="18.85546875" style="18" bestFit="1" customWidth="1"/>
    <col min="7770" max="7770" width="80.7109375" style="18" customWidth="1"/>
    <col min="7771" max="7958" width="9.140625" style="18"/>
    <col min="7959" max="7959" width="2.5703125" style="18" customWidth="1"/>
    <col min="7960" max="7960" width="17.85546875" style="18" customWidth="1"/>
    <col min="7961" max="7961" width="41.5703125" style="18" customWidth="1"/>
    <col min="7962" max="7963" width="12" style="18" customWidth="1"/>
    <col min="7964" max="7964" width="17" style="18" customWidth="1"/>
    <col min="7965" max="7965" width="9.7109375" style="18" customWidth="1"/>
    <col min="7966" max="7966" width="12.28515625" style="18" customWidth="1"/>
    <col min="7967" max="7967" width="13.7109375" style="18" customWidth="1"/>
    <col min="7968" max="7968" width="13.5703125" style="18" bestFit="1" customWidth="1"/>
    <col min="7969" max="7969" width="13.5703125" style="18" customWidth="1"/>
    <col min="7970" max="7970" width="21" style="18" customWidth="1"/>
    <col min="7971" max="7974" width="13.42578125" style="18" customWidth="1"/>
    <col min="7975" max="7976" width="19" style="18" customWidth="1"/>
    <col min="7977" max="7977" width="34" style="18" customWidth="1"/>
    <col min="7978" max="7978" width="19" style="18" customWidth="1"/>
    <col min="7979" max="7979" width="20" style="18" bestFit="1" customWidth="1"/>
    <col min="7980" max="7980" width="20.28515625" style="18" bestFit="1" customWidth="1"/>
    <col min="7981" max="7981" width="26.7109375" style="18" customWidth="1"/>
    <col min="7982" max="7982" width="20.85546875" style="18" bestFit="1" customWidth="1"/>
    <col min="7983" max="7983" width="20.85546875" style="18" customWidth="1"/>
    <col min="7984" max="7984" width="18.85546875" style="18" customWidth="1"/>
    <col min="7985" max="7985" width="17.5703125" style="18" customWidth="1"/>
    <col min="7986" max="7987" width="19.42578125" style="18" customWidth="1"/>
    <col min="7988" max="7988" width="20.7109375" style="18" bestFit="1" customWidth="1"/>
    <col min="7989" max="7989" width="80.7109375" style="18" customWidth="1"/>
    <col min="7990" max="7990" width="14.7109375" style="18" bestFit="1" customWidth="1"/>
    <col min="7991" max="7991" width="18.140625" style="18" bestFit="1" customWidth="1"/>
    <col min="7992" max="7992" width="16.7109375" style="18" bestFit="1" customWidth="1"/>
    <col min="7993" max="7993" width="18.5703125" style="18" bestFit="1" customWidth="1"/>
    <col min="7994" max="7994" width="21.28515625" style="18" bestFit="1" customWidth="1"/>
    <col min="7995" max="7995" width="16.28515625" style="18" bestFit="1" customWidth="1"/>
    <col min="7996" max="7996" width="21.140625" style="18" bestFit="1" customWidth="1"/>
    <col min="7997" max="7997" width="19" style="18" bestFit="1" customWidth="1"/>
    <col min="7998" max="7998" width="19.140625" style="18" customWidth="1"/>
    <col min="7999" max="7999" width="16.7109375" style="18" customWidth="1"/>
    <col min="8000" max="8000" width="21.140625" style="18" bestFit="1" customWidth="1"/>
    <col min="8001" max="8001" width="20.42578125" style="18" bestFit="1" customWidth="1"/>
    <col min="8002" max="8002" width="21.140625" style="18" customWidth="1"/>
    <col min="8003" max="8003" width="20.5703125" style="18" bestFit="1" customWidth="1"/>
    <col min="8004" max="8004" width="19.7109375" style="18" bestFit="1" customWidth="1"/>
    <col min="8005" max="8005" width="20.28515625" style="18" customWidth="1"/>
    <col min="8006" max="8006" width="20.85546875" style="18" bestFit="1" customWidth="1"/>
    <col min="8007" max="8007" width="19.5703125" style="18" bestFit="1" customWidth="1"/>
    <col min="8008" max="8008" width="18" style="18" customWidth="1"/>
    <col min="8009" max="8009" width="20" style="18" bestFit="1" customWidth="1"/>
    <col min="8010" max="8010" width="35.7109375" style="18" customWidth="1"/>
    <col min="8011" max="8011" width="21.140625" style="18" bestFit="1" customWidth="1"/>
    <col min="8012" max="8012" width="20.5703125" style="18" bestFit="1" customWidth="1"/>
    <col min="8013" max="8013" width="19.42578125" style="18" bestFit="1" customWidth="1"/>
    <col min="8014" max="8014" width="18.5703125" style="18" bestFit="1" customWidth="1"/>
    <col min="8015" max="8015" width="20.5703125" style="18" bestFit="1" customWidth="1"/>
    <col min="8016" max="8016" width="21.28515625" style="18" bestFit="1" customWidth="1"/>
    <col min="8017" max="8017" width="15.42578125" style="18" customWidth="1"/>
    <col min="8018" max="8018" width="20.7109375" style="18" customWidth="1"/>
    <col min="8019" max="8019" width="21.28515625" style="18" customWidth="1"/>
    <col min="8020" max="8020" width="14.85546875" style="18" bestFit="1" customWidth="1"/>
    <col min="8021" max="8021" width="23" style="18" bestFit="1" customWidth="1"/>
    <col min="8022" max="8022" width="21.28515625" style="18" bestFit="1" customWidth="1"/>
    <col min="8023" max="8023" width="20.28515625" style="18" bestFit="1" customWidth="1"/>
    <col min="8024" max="8024" width="21" style="18" bestFit="1" customWidth="1"/>
    <col min="8025" max="8025" width="18.85546875" style="18" bestFit="1" customWidth="1"/>
    <col min="8026" max="8026" width="80.7109375" style="18" customWidth="1"/>
    <col min="8027" max="8214" width="9.140625" style="18"/>
    <col min="8215" max="8215" width="2.5703125" style="18" customWidth="1"/>
    <col min="8216" max="8216" width="17.85546875" style="18" customWidth="1"/>
    <col min="8217" max="8217" width="41.5703125" style="18" customWidth="1"/>
    <col min="8218" max="8219" width="12" style="18" customWidth="1"/>
    <col min="8220" max="8220" width="17" style="18" customWidth="1"/>
    <col min="8221" max="8221" width="9.7109375" style="18" customWidth="1"/>
    <col min="8222" max="8222" width="12.28515625" style="18" customWidth="1"/>
    <col min="8223" max="8223" width="13.7109375" style="18" customWidth="1"/>
    <col min="8224" max="8224" width="13.5703125" style="18" bestFit="1" customWidth="1"/>
    <col min="8225" max="8225" width="13.5703125" style="18" customWidth="1"/>
    <col min="8226" max="8226" width="21" style="18" customWidth="1"/>
    <col min="8227" max="8230" width="13.42578125" style="18" customWidth="1"/>
    <col min="8231" max="8232" width="19" style="18" customWidth="1"/>
    <col min="8233" max="8233" width="34" style="18" customWidth="1"/>
    <col min="8234" max="8234" width="19" style="18" customWidth="1"/>
    <col min="8235" max="8235" width="20" style="18" bestFit="1" customWidth="1"/>
    <col min="8236" max="8236" width="20.28515625" style="18" bestFit="1" customWidth="1"/>
    <col min="8237" max="8237" width="26.7109375" style="18" customWidth="1"/>
    <col min="8238" max="8238" width="20.85546875" style="18" bestFit="1" customWidth="1"/>
    <col min="8239" max="8239" width="20.85546875" style="18" customWidth="1"/>
    <col min="8240" max="8240" width="18.85546875" style="18" customWidth="1"/>
    <col min="8241" max="8241" width="17.5703125" style="18" customWidth="1"/>
    <col min="8242" max="8243" width="19.42578125" style="18" customWidth="1"/>
    <col min="8244" max="8244" width="20.7109375" style="18" bestFit="1" customWidth="1"/>
    <col min="8245" max="8245" width="80.7109375" style="18" customWidth="1"/>
    <col min="8246" max="8246" width="14.7109375" style="18" bestFit="1" customWidth="1"/>
    <col min="8247" max="8247" width="18.140625" style="18" bestFit="1" customWidth="1"/>
    <col min="8248" max="8248" width="16.7109375" style="18" bestFit="1" customWidth="1"/>
    <col min="8249" max="8249" width="18.5703125" style="18" bestFit="1" customWidth="1"/>
    <col min="8250" max="8250" width="21.28515625" style="18" bestFit="1" customWidth="1"/>
    <col min="8251" max="8251" width="16.28515625" style="18" bestFit="1" customWidth="1"/>
    <col min="8252" max="8252" width="21.140625" style="18" bestFit="1" customWidth="1"/>
    <col min="8253" max="8253" width="19" style="18" bestFit="1" customWidth="1"/>
    <col min="8254" max="8254" width="19.140625" style="18" customWidth="1"/>
    <col min="8255" max="8255" width="16.7109375" style="18" customWidth="1"/>
    <col min="8256" max="8256" width="21.140625" style="18" bestFit="1" customWidth="1"/>
    <col min="8257" max="8257" width="20.42578125" style="18" bestFit="1" customWidth="1"/>
    <col min="8258" max="8258" width="21.140625" style="18" customWidth="1"/>
    <col min="8259" max="8259" width="20.5703125" style="18" bestFit="1" customWidth="1"/>
    <col min="8260" max="8260" width="19.7109375" style="18" bestFit="1" customWidth="1"/>
    <col min="8261" max="8261" width="20.28515625" style="18" customWidth="1"/>
    <col min="8262" max="8262" width="20.85546875" style="18" bestFit="1" customWidth="1"/>
    <col min="8263" max="8263" width="19.5703125" style="18" bestFit="1" customWidth="1"/>
    <col min="8264" max="8264" width="18" style="18" customWidth="1"/>
    <col min="8265" max="8265" width="20" style="18" bestFit="1" customWidth="1"/>
    <col min="8266" max="8266" width="35.7109375" style="18" customWidth="1"/>
    <col min="8267" max="8267" width="21.140625" style="18" bestFit="1" customWidth="1"/>
    <col min="8268" max="8268" width="20.5703125" style="18" bestFit="1" customWidth="1"/>
    <col min="8269" max="8269" width="19.42578125" style="18" bestFit="1" customWidth="1"/>
    <col min="8270" max="8270" width="18.5703125" style="18" bestFit="1" customWidth="1"/>
    <col min="8271" max="8271" width="20.5703125" style="18" bestFit="1" customWidth="1"/>
    <col min="8272" max="8272" width="21.28515625" style="18" bestFit="1" customWidth="1"/>
    <col min="8273" max="8273" width="15.42578125" style="18" customWidth="1"/>
    <col min="8274" max="8274" width="20.7109375" style="18" customWidth="1"/>
    <col min="8275" max="8275" width="21.28515625" style="18" customWidth="1"/>
    <col min="8276" max="8276" width="14.85546875" style="18" bestFit="1" customWidth="1"/>
    <col min="8277" max="8277" width="23" style="18" bestFit="1" customWidth="1"/>
    <col min="8278" max="8278" width="21.28515625" style="18" bestFit="1" customWidth="1"/>
    <col min="8279" max="8279" width="20.28515625" style="18" bestFit="1" customWidth="1"/>
    <col min="8280" max="8280" width="21" style="18" bestFit="1" customWidth="1"/>
    <col min="8281" max="8281" width="18.85546875" style="18" bestFit="1" customWidth="1"/>
    <col min="8282" max="8282" width="80.7109375" style="18" customWidth="1"/>
    <col min="8283" max="8470" width="9.140625" style="18"/>
    <col min="8471" max="8471" width="2.5703125" style="18" customWidth="1"/>
    <col min="8472" max="8472" width="17.85546875" style="18" customWidth="1"/>
    <col min="8473" max="8473" width="41.5703125" style="18" customWidth="1"/>
    <col min="8474" max="8475" width="12" style="18" customWidth="1"/>
    <col min="8476" max="8476" width="17" style="18" customWidth="1"/>
    <col min="8477" max="8477" width="9.7109375" style="18" customWidth="1"/>
    <col min="8478" max="8478" width="12.28515625" style="18" customWidth="1"/>
    <col min="8479" max="8479" width="13.7109375" style="18" customWidth="1"/>
    <col min="8480" max="8480" width="13.5703125" style="18" bestFit="1" customWidth="1"/>
    <col min="8481" max="8481" width="13.5703125" style="18" customWidth="1"/>
    <col min="8482" max="8482" width="21" style="18" customWidth="1"/>
    <col min="8483" max="8486" width="13.42578125" style="18" customWidth="1"/>
    <col min="8487" max="8488" width="19" style="18" customWidth="1"/>
    <col min="8489" max="8489" width="34" style="18" customWidth="1"/>
    <col min="8490" max="8490" width="19" style="18" customWidth="1"/>
    <col min="8491" max="8491" width="20" style="18" bestFit="1" customWidth="1"/>
    <col min="8492" max="8492" width="20.28515625" style="18" bestFit="1" customWidth="1"/>
    <col min="8493" max="8493" width="26.7109375" style="18" customWidth="1"/>
    <col min="8494" max="8494" width="20.85546875" style="18" bestFit="1" customWidth="1"/>
    <col min="8495" max="8495" width="20.85546875" style="18" customWidth="1"/>
    <col min="8496" max="8496" width="18.85546875" style="18" customWidth="1"/>
    <col min="8497" max="8497" width="17.5703125" style="18" customWidth="1"/>
    <col min="8498" max="8499" width="19.42578125" style="18" customWidth="1"/>
    <col min="8500" max="8500" width="20.7109375" style="18" bestFit="1" customWidth="1"/>
    <col min="8501" max="8501" width="80.7109375" style="18" customWidth="1"/>
    <col min="8502" max="8502" width="14.7109375" style="18" bestFit="1" customWidth="1"/>
    <col min="8503" max="8503" width="18.140625" style="18" bestFit="1" customWidth="1"/>
    <col min="8504" max="8504" width="16.7109375" style="18" bestFit="1" customWidth="1"/>
    <col min="8505" max="8505" width="18.5703125" style="18" bestFit="1" customWidth="1"/>
    <col min="8506" max="8506" width="21.28515625" style="18" bestFit="1" customWidth="1"/>
    <col min="8507" max="8507" width="16.28515625" style="18" bestFit="1" customWidth="1"/>
    <col min="8508" max="8508" width="21.140625" style="18" bestFit="1" customWidth="1"/>
    <col min="8509" max="8509" width="19" style="18" bestFit="1" customWidth="1"/>
    <col min="8510" max="8510" width="19.140625" style="18" customWidth="1"/>
    <col min="8511" max="8511" width="16.7109375" style="18" customWidth="1"/>
    <col min="8512" max="8512" width="21.140625" style="18" bestFit="1" customWidth="1"/>
    <col min="8513" max="8513" width="20.42578125" style="18" bestFit="1" customWidth="1"/>
    <col min="8514" max="8514" width="21.140625" style="18" customWidth="1"/>
    <col min="8515" max="8515" width="20.5703125" style="18" bestFit="1" customWidth="1"/>
    <col min="8516" max="8516" width="19.7109375" style="18" bestFit="1" customWidth="1"/>
    <col min="8517" max="8517" width="20.28515625" style="18" customWidth="1"/>
    <col min="8518" max="8518" width="20.85546875" style="18" bestFit="1" customWidth="1"/>
    <col min="8519" max="8519" width="19.5703125" style="18" bestFit="1" customWidth="1"/>
    <col min="8520" max="8520" width="18" style="18" customWidth="1"/>
    <col min="8521" max="8521" width="20" style="18" bestFit="1" customWidth="1"/>
    <col min="8522" max="8522" width="35.7109375" style="18" customWidth="1"/>
    <col min="8523" max="8523" width="21.140625" style="18" bestFit="1" customWidth="1"/>
    <col min="8524" max="8524" width="20.5703125" style="18" bestFit="1" customWidth="1"/>
    <col min="8525" max="8525" width="19.42578125" style="18" bestFit="1" customWidth="1"/>
    <col min="8526" max="8526" width="18.5703125" style="18" bestFit="1" customWidth="1"/>
    <col min="8527" max="8527" width="20.5703125" style="18" bestFit="1" customWidth="1"/>
    <col min="8528" max="8528" width="21.28515625" style="18" bestFit="1" customWidth="1"/>
    <col min="8529" max="8529" width="15.42578125" style="18" customWidth="1"/>
    <col min="8530" max="8530" width="20.7109375" style="18" customWidth="1"/>
    <col min="8531" max="8531" width="21.28515625" style="18" customWidth="1"/>
    <col min="8532" max="8532" width="14.85546875" style="18" bestFit="1" customWidth="1"/>
    <col min="8533" max="8533" width="23" style="18" bestFit="1" customWidth="1"/>
    <col min="8534" max="8534" width="21.28515625" style="18" bestFit="1" customWidth="1"/>
    <col min="8535" max="8535" width="20.28515625" style="18" bestFit="1" customWidth="1"/>
    <col min="8536" max="8536" width="21" style="18" bestFit="1" customWidth="1"/>
    <col min="8537" max="8537" width="18.85546875" style="18" bestFit="1" customWidth="1"/>
    <col min="8538" max="8538" width="80.7109375" style="18" customWidth="1"/>
    <col min="8539" max="8726" width="9.140625" style="18"/>
    <col min="8727" max="8727" width="2.5703125" style="18" customWidth="1"/>
    <col min="8728" max="8728" width="17.85546875" style="18" customWidth="1"/>
    <col min="8729" max="8729" width="41.5703125" style="18" customWidth="1"/>
    <col min="8730" max="8731" width="12" style="18" customWidth="1"/>
    <col min="8732" max="8732" width="17" style="18" customWidth="1"/>
    <col min="8733" max="8733" width="9.7109375" style="18" customWidth="1"/>
    <col min="8734" max="8734" width="12.28515625" style="18" customWidth="1"/>
    <col min="8735" max="8735" width="13.7109375" style="18" customWidth="1"/>
    <col min="8736" max="8736" width="13.5703125" style="18" bestFit="1" customWidth="1"/>
    <col min="8737" max="8737" width="13.5703125" style="18" customWidth="1"/>
    <col min="8738" max="8738" width="21" style="18" customWidth="1"/>
    <col min="8739" max="8742" width="13.42578125" style="18" customWidth="1"/>
    <col min="8743" max="8744" width="19" style="18" customWidth="1"/>
    <col min="8745" max="8745" width="34" style="18" customWidth="1"/>
    <col min="8746" max="8746" width="19" style="18" customWidth="1"/>
    <col min="8747" max="8747" width="20" style="18" bestFit="1" customWidth="1"/>
    <col min="8748" max="8748" width="20.28515625" style="18" bestFit="1" customWidth="1"/>
    <col min="8749" max="8749" width="26.7109375" style="18" customWidth="1"/>
    <col min="8750" max="8750" width="20.85546875" style="18" bestFit="1" customWidth="1"/>
    <col min="8751" max="8751" width="20.85546875" style="18" customWidth="1"/>
    <col min="8752" max="8752" width="18.85546875" style="18" customWidth="1"/>
    <col min="8753" max="8753" width="17.5703125" style="18" customWidth="1"/>
    <col min="8754" max="8755" width="19.42578125" style="18" customWidth="1"/>
    <col min="8756" max="8756" width="20.7109375" style="18" bestFit="1" customWidth="1"/>
    <col min="8757" max="8757" width="80.7109375" style="18" customWidth="1"/>
    <col min="8758" max="8758" width="14.7109375" style="18" bestFit="1" customWidth="1"/>
    <col min="8759" max="8759" width="18.140625" style="18" bestFit="1" customWidth="1"/>
    <col min="8760" max="8760" width="16.7109375" style="18" bestFit="1" customWidth="1"/>
    <col min="8761" max="8761" width="18.5703125" style="18" bestFit="1" customWidth="1"/>
    <col min="8762" max="8762" width="21.28515625" style="18" bestFit="1" customWidth="1"/>
    <col min="8763" max="8763" width="16.28515625" style="18" bestFit="1" customWidth="1"/>
    <col min="8764" max="8764" width="21.140625" style="18" bestFit="1" customWidth="1"/>
    <col min="8765" max="8765" width="19" style="18" bestFit="1" customWidth="1"/>
    <col min="8766" max="8766" width="19.140625" style="18" customWidth="1"/>
    <col min="8767" max="8767" width="16.7109375" style="18" customWidth="1"/>
    <col min="8768" max="8768" width="21.140625" style="18" bestFit="1" customWidth="1"/>
    <col min="8769" max="8769" width="20.42578125" style="18" bestFit="1" customWidth="1"/>
    <col min="8770" max="8770" width="21.140625" style="18" customWidth="1"/>
    <col min="8771" max="8771" width="20.5703125" style="18" bestFit="1" customWidth="1"/>
    <col min="8772" max="8772" width="19.7109375" style="18" bestFit="1" customWidth="1"/>
    <col min="8773" max="8773" width="20.28515625" style="18" customWidth="1"/>
    <col min="8774" max="8774" width="20.85546875" style="18" bestFit="1" customWidth="1"/>
    <col min="8775" max="8775" width="19.5703125" style="18" bestFit="1" customWidth="1"/>
    <col min="8776" max="8776" width="18" style="18" customWidth="1"/>
    <col min="8777" max="8777" width="20" style="18" bestFit="1" customWidth="1"/>
    <col min="8778" max="8778" width="35.7109375" style="18" customWidth="1"/>
    <col min="8779" max="8779" width="21.140625" style="18" bestFit="1" customWidth="1"/>
    <col min="8780" max="8780" width="20.5703125" style="18" bestFit="1" customWidth="1"/>
    <col min="8781" max="8781" width="19.42578125" style="18" bestFit="1" customWidth="1"/>
    <col min="8782" max="8782" width="18.5703125" style="18" bestFit="1" customWidth="1"/>
    <col min="8783" max="8783" width="20.5703125" style="18" bestFit="1" customWidth="1"/>
    <col min="8784" max="8784" width="21.28515625" style="18" bestFit="1" customWidth="1"/>
    <col min="8785" max="8785" width="15.42578125" style="18" customWidth="1"/>
    <col min="8786" max="8786" width="20.7109375" style="18" customWidth="1"/>
    <col min="8787" max="8787" width="21.28515625" style="18" customWidth="1"/>
    <col min="8788" max="8788" width="14.85546875" style="18" bestFit="1" customWidth="1"/>
    <col min="8789" max="8789" width="23" style="18" bestFit="1" customWidth="1"/>
    <col min="8790" max="8790" width="21.28515625" style="18" bestFit="1" customWidth="1"/>
    <col min="8791" max="8791" width="20.28515625" style="18" bestFit="1" customWidth="1"/>
    <col min="8792" max="8792" width="21" style="18" bestFit="1" customWidth="1"/>
    <col min="8793" max="8793" width="18.85546875" style="18" bestFit="1" customWidth="1"/>
    <col min="8794" max="8794" width="80.7109375" style="18" customWidth="1"/>
    <col min="8795" max="8982" width="9.140625" style="18"/>
    <col min="8983" max="8983" width="2.5703125" style="18" customWidth="1"/>
    <col min="8984" max="8984" width="17.85546875" style="18" customWidth="1"/>
    <col min="8985" max="8985" width="41.5703125" style="18" customWidth="1"/>
    <col min="8986" max="8987" width="12" style="18" customWidth="1"/>
    <col min="8988" max="8988" width="17" style="18" customWidth="1"/>
    <col min="8989" max="8989" width="9.7109375" style="18" customWidth="1"/>
    <col min="8990" max="8990" width="12.28515625" style="18" customWidth="1"/>
    <col min="8991" max="8991" width="13.7109375" style="18" customWidth="1"/>
    <col min="8992" max="8992" width="13.5703125" style="18" bestFit="1" customWidth="1"/>
    <col min="8993" max="8993" width="13.5703125" style="18" customWidth="1"/>
    <col min="8994" max="8994" width="21" style="18" customWidth="1"/>
    <col min="8995" max="8998" width="13.42578125" style="18" customWidth="1"/>
    <col min="8999" max="9000" width="19" style="18" customWidth="1"/>
    <col min="9001" max="9001" width="34" style="18" customWidth="1"/>
    <col min="9002" max="9002" width="19" style="18" customWidth="1"/>
    <col min="9003" max="9003" width="20" style="18" bestFit="1" customWidth="1"/>
    <col min="9004" max="9004" width="20.28515625" style="18" bestFit="1" customWidth="1"/>
    <col min="9005" max="9005" width="26.7109375" style="18" customWidth="1"/>
    <col min="9006" max="9006" width="20.85546875" style="18" bestFit="1" customWidth="1"/>
    <col min="9007" max="9007" width="20.85546875" style="18" customWidth="1"/>
    <col min="9008" max="9008" width="18.85546875" style="18" customWidth="1"/>
    <col min="9009" max="9009" width="17.5703125" style="18" customWidth="1"/>
    <col min="9010" max="9011" width="19.42578125" style="18" customWidth="1"/>
    <col min="9012" max="9012" width="20.7109375" style="18" bestFit="1" customWidth="1"/>
    <col min="9013" max="9013" width="80.7109375" style="18" customWidth="1"/>
    <col min="9014" max="9014" width="14.7109375" style="18" bestFit="1" customWidth="1"/>
    <col min="9015" max="9015" width="18.140625" style="18" bestFit="1" customWidth="1"/>
    <col min="9016" max="9016" width="16.7109375" style="18" bestFit="1" customWidth="1"/>
    <col min="9017" max="9017" width="18.5703125" style="18" bestFit="1" customWidth="1"/>
    <col min="9018" max="9018" width="21.28515625" style="18" bestFit="1" customWidth="1"/>
    <col min="9019" max="9019" width="16.28515625" style="18" bestFit="1" customWidth="1"/>
    <col min="9020" max="9020" width="21.140625" style="18" bestFit="1" customWidth="1"/>
    <col min="9021" max="9021" width="19" style="18" bestFit="1" customWidth="1"/>
    <col min="9022" max="9022" width="19.140625" style="18" customWidth="1"/>
    <col min="9023" max="9023" width="16.7109375" style="18" customWidth="1"/>
    <col min="9024" max="9024" width="21.140625" style="18" bestFit="1" customWidth="1"/>
    <col min="9025" max="9025" width="20.42578125" style="18" bestFit="1" customWidth="1"/>
    <col min="9026" max="9026" width="21.140625" style="18" customWidth="1"/>
    <col min="9027" max="9027" width="20.5703125" style="18" bestFit="1" customWidth="1"/>
    <col min="9028" max="9028" width="19.7109375" style="18" bestFit="1" customWidth="1"/>
    <col min="9029" max="9029" width="20.28515625" style="18" customWidth="1"/>
    <col min="9030" max="9030" width="20.85546875" style="18" bestFit="1" customWidth="1"/>
    <col min="9031" max="9031" width="19.5703125" style="18" bestFit="1" customWidth="1"/>
    <col min="9032" max="9032" width="18" style="18" customWidth="1"/>
    <col min="9033" max="9033" width="20" style="18" bestFit="1" customWidth="1"/>
    <col min="9034" max="9034" width="35.7109375" style="18" customWidth="1"/>
    <col min="9035" max="9035" width="21.140625" style="18" bestFit="1" customWidth="1"/>
    <col min="9036" max="9036" width="20.5703125" style="18" bestFit="1" customWidth="1"/>
    <col min="9037" max="9037" width="19.42578125" style="18" bestFit="1" customWidth="1"/>
    <col min="9038" max="9038" width="18.5703125" style="18" bestFit="1" customWidth="1"/>
    <col min="9039" max="9039" width="20.5703125" style="18" bestFit="1" customWidth="1"/>
    <col min="9040" max="9040" width="21.28515625" style="18" bestFit="1" customWidth="1"/>
    <col min="9041" max="9041" width="15.42578125" style="18" customWidth="1"/>
    <col min="9042" max="9042" width="20.7109375" style="18" customWidth="1"/>
    <col min="9043" max="9043" width="21.28515625" style="18" customWidth="1"/>
    <col min="9044" max="9044" width="14.85546875" style="18" bestFit="1" customWidth="1"/>
    <col min="9045" max="9045" width="23" style="18" bestFit="1" customWidth="1"/>
    <col min="9046" max="9046" width="21.28515625" style="18" bestFit="1" customWidth="1"/>
    <col min="9047" max="9047" width="20.28515625" style="18" bestFit="1" customWidth="1"/>
    <col min="9048" max="9048" width="21" style="18" bestFit="1" customWidth="1"/>
    <col min="9049" max="9049" width="18.85546875" style="18" bestFit="1" customWidth="1"/>
    <col min="9050" max="9050" width="80.7109375" style="18" customWidth="1"/>
    <col min="9051" max="9238" width="9.140625" style="18"/>
    <col min="9239" max="9239" width="2.5703125" style="18" customWidth="1"/>
    <col min="9240" max="9240" width="17.85546875" style="18" customWidth="1"/>
    <col min="9241" max="9241" width="41.5703125" style="18" customWidth="1"/>
    <col min="9242" max="9243" width="12" style="18" customWidth="1"/>
    <col min="9244" max="9244" width="17" style="18" customWidth="1"/>
    <col min="9245" max="9245" width="9.7109375" style="18" customWidth="1"/>
    <col min="9246" max="9246" width="12.28515625" style="18" customWidth="1"/>
    <col min="9247" max="9247" width="13.7109375" style="18" customWidth="1"/>
    <col min="9248" max="9248" width="13.5703125" style="18" bestFit="1" customWidth="1"/>
    <col min="9249" max="9249" width="13.5703125" style="18" customWidth="1"/>
    <col min="9250" max="9250" width="21" style="18" customWidth="1"/>
    <col min="9251" max="9254" width="13.42578125" style="18" customWidth="1"/>
    <col min="9255" max="9256" width="19" style="18" customWidth="1"/>
    <col min="9257" max="9257" width="34" style="18" customWidth="1"/>
    <col min="9258" max="9258" width="19" style="18" customWidth="1"/>
    <col min="9259" max="9259" width="20" style="18" bestFit="1" customWidth="1"/>
    <col min="9260" max="9260" width="20.28515625" style="18" bestFit="1" customWidth="1"/>
    <col min="9261" max="9261" width="26.7109375" style="18" customWidth="1"/>
    <col min="9262" max="9262" width="20.85546875" style="18" bestFit="1" customWidth="1"/>
    <col min="9263" max="9263" width="20.85546875" style="18" customWidth="1"/>
    <col min="9264" max="9264" width="18.85546875" style="18" customWidth="1"/>
    <col min="9265" max="9265" width="17.5703125" style="18" customWidth="1"/>
    <col min="9266" max="9267" width="19.42578125" style="18" customWidth="1"/>
    <col min="9268" max="9268" width="20.7109375" style="18" bestFit="1" customWidth="1"/>
    <col min="9269" max="9269" width="80.7109375" style="18" customWidth="1"/>
    <col min="9270" max="9270" width="14.7109375" style="18" bestFit="1" customWidth="1"/>
    <col min="9271" max="9271" width="18.140625" style="18" bestFit="1" customWidth="1"/>
    <col min="9272" max="9272" width="16.7109375" style="18" bestFit="1" customWidth="1"/>
    <col min="9273" max="9273" width="18.5703125" style="18" bestFit="1" customWidth="1"/>
    <col min="9274" max="9274" width="21.28515625" style="18" bestFit="1" customWidth="1"/>
    <col min="9275" max="9275" width="16.28515625" style="18" bestFit="1" customWidth="1"/>
    <col min="9276" max="9276" width="21.140625" style="18" bestFit="1" customWidth="1"/>
    <col min="9277" max="9277" width="19" style="18" bestFit="1" customWidth="1"/>
    <col min="9278" max="9278" width="19.140625" style="18" customWidth="1"/>
    <col min="9279" max="9279" width="16.7109375" style="18" customWidth="1"/>
    <col min="9280" max="9280" width="21.140625" style="18" bestFit="1" customWidth="1"/>
    <col min="9281" max="9281" width="20.42578125" style="18" bestFit="1" customWidth="1"/>
    <col min="9282" max="9282" width="21.140625" style="18" customWidth="1"/>
    <col min="9283" max="9283" width="20.5703125" style="18" bestFit="1" customWidth="1"/>
    <col min="9284" max="9284" width="19.7109375" style="18" bestFit="1" customWidth="1"/>
    <col min="9285" max="9285" width="20.28515625" style="18" customWidth="1"/>
    <col min="9286" max="9286" width="20.85546875" style="18" bestFit="1" customWidth="1"/>
    <col min="9287" max="9287" width="19.5703125" style="18" bestFit="1" customWidth="1"/>
    <col min="9288" max="9288" width="18" style="18" customWidth="1"/>
    <col min="9289" max="9289" width="20" style="18" bestFit="1" customWidth="1"/>
    <col min="9290" max="9290" width="35.7109375" style="18" customWidth="1"/>
    <col min="9291" max="9291" width="21.140625" style="18" bestFit="1" customWidth="1"/>
    <col min="9292" max="9292" width="20.5703125" style="18" bestFit="1" customWidth="1"/>
    <col min="9293" max="9293" width="19.42578125" style="18" bestFit="1" customWidth="1"/>
    <col min="9294" max="9294" width="18.5703125" style="18" bestFit="1" customWidth="1"/>
    <col min="9295" max="9295" width="20.5703125" style="18" bestFit="1" customWidth="1"/>
    <col min="9296" max="9296" width="21.28515625" style="18" bestFit="1" customWidth="1"/>
    <col min="9297" max="9297" width="15.42578125" style="18" customWidth="1"/>
    <col min="9298" max="9298" width="20.7109375" style="18" customWidth="1"/>
    <col min="9299" max="9299" width="21.28515625" style="18" customWidth="1"/>
    <col min="9300" max="9300" width="14.85546875" style="18" bestFit="1" customWidth="1"/>
    <col min="9301" max="9301" width="23" style="18" bestFit="1" customWidth="1"/>
    <col min="9302" max="9302" width="21.28515625" style="18" bestFit="1" customWidth="1"/>
    <col min="9303" max="9303" width="20.28515625" style="18" bestFit="1" customWidth="1"/>
    <col min="9304" max="9304" width="21" style="18" bestFit="1" customWidth="1"/>
    <col min="9305" max="9305" width="18.85546875" style="18" bestFit="1" customWidth="1"/>
    <col min="9306" max="9306" width="80.7109375" style="18" customWidth="1"/>
    <col min="9307" max="9494" width="9.140625" style="18"/>
    <col min="9495" max="9495" width="2.5703125" style="18" customWidth="1"/>
    <col min="9496" max="9496" width="17.85546875" style="18" customWidth="1"/>
    <col min="9497" max="9497" width="41.5703125" style="18" customWidth="1"/>
    <col min="9498" max="9499" width="12" style="18" customWidth="1"/>
    <col min="9500" max="9500" width="17" style="18" customWidth="1"/>
    <col min="9501" max="9501" width="9.7109375" style="18" customWidth="1"/>
    <col min="9502" max="9502" width="12.28515625" style="18" customWidth="1"/>
    <col min="9503" max="9503" width="13.7109375" style="18" customWidth="1"/>
    <col min="9504" max="9504" width="13.5703125" style="18" bestFit="1" customWidth="1"/>
    <col min="9505" max="9505" width="13.5703125" style="18" customWidth="1"/>
    <col min="9506" max="9506" width="21" style="18" customWidth="1"/>
    <col min="9507" max="9510" width="13.42578125" style="18" customWidth="1"/>
    <col min="9511" max="9512" width="19" style="18" customWidth="1"/>
    <col min="9513" max="9513" width="34" style="18" customWidth="1"/>
    <col min="9514" max="9514" width="19" style="18" customWidth="1"/>
    <col min="9515" max="9515" width="20" style="18" bestFit="1" customWidth="1"/>
    <col min="9516" max="9516" width="20.28515625" style="18" bestFit="1" customWidth="1"/>
    <col min="9517" max="9517" width="26.7109375" style="18" customWidth="1"/>
    <col min="9518" max="9518" width="20.85546875" style="18" bestFit="1" customWidth="1"/>
    <col min="9519" max="9519" width="20.85546875" style="18" customWidth="1"/>
    <col min="9520" max="9520" width="18.85546875" style="18" customWidth="1"/>
    <col min="9521" max="9521" width="17.5703125" style="18" customWidth="1"/>
    <col min="9522" max="9523" width="19.42578125" style="18" customWidth="1"/>
    <col min="9524" max="9524" width="20.7109375" style="18" bestFit="1" customWidth="1"/>
    <col min="9525" max="9525" width="80.7109375" style="18" customWidth="1"/>
    <col min="9526" max="9526" width="14.7109375" style="18" bestFit="1" customWidth="1"/>
    <col min="9527" max="9527" width="18.140625" style="18" bestFit="1" customWidth="1"/>
    <col min="9528" max="9528" width="16.7109375" style="18" bestFit="1" customWidth="1"/>
    <col min="9529" max="9529" width="18.5703125" style="18" bestFit="1" customWidth="1"/>
    <col min="9530" max="9530" width="21.28515625" style="18" bestFit="1" customWidth="1"/>
    <col min="9531" max="9531" width="16.28515625" style="18" bestFit="1" customWidth="1"/>
    <col min="9532" max="9532" width="21.140625" style="18" bestFit="1" customWidth="1"/>
    <col min="9533" max="9533" width="19" style="18" bestFit="1" customWidth="1"/>
    <col min="9534" max="9534" width="19.140625" style="18" customWidth="1"/>
    <col min="9535" max="9535" width="16.7109375" style="18" customWidth="1"/>
    <col min="9536" max="9536" width="21.140625" style="18" bestFit="1" customWidth="1"/>
    <col min="9537" max="9537" width="20.42578125" style="18" bestFit="1" customWidth="1"/>
    <col min="9538" max="9538" width="21.140625" style="18" customWidth="1"/>
    <col min="9539" max="9539" width="20.5703125" style="18" bestFit="1" customWidth="1"/>
    <col min="9540" max="9540" width="19.7109375" style="18" bestFit="1" customWidth="1"/>
    <col min="9541" max="9541" width="20.28515625" style="18" customWidth="1"/>
    <col min="9542" max="9542" width="20.85546875" style="18" bestFit="1" customWidth="1"/>
    <col min="9543" max="9543" width="19.5703125" style="18" bestFit="1" customWidth="1"/>
    <col min="9544" max="9544" width="18" style="18" customWidth="1"/>
    <col min="9545" max="9545" width="20" style="18" bestFit="1" customWidth="1"/>
    <col min="9546" max="9546" width="35.7109375" style="18" customWidth="1"/>
    <col min="9547" max="9547" width="21.140625" style="18" bestFit="1" customWidth="1"/>
    <col min="9548" max="9548" width="20.5703125" style="18" bestFit="1" customWidth="1"/>
    <col min="9549" max="9549" width="19.42578125" style="18" bestFit="1" customWidth="1"/>
    <col min="9550" max="9550" width="18.5703125" style="18" bestFit="1" customWidth="1"/>
    <col min="9551" max="9551" width="20.5703125" style="18" bestFit="1" customWidth="1"/>
    <col min="9552" max="9552" width="21.28515625" style="18" bestFit="1" customWidth="1"/>
    <col min="9553" max="9553" width="15.42578125" style="18" customWidth="1"/>
    <col min="9554" max="9554" width="20.7109375" style="18" customWidth="1"/>
    <col min="9555" max="9555" width="21.28515625" style="18" customWidth="1"/>
    <col min="9556" max="9556" width="14.85546875" style="18" bestFit="1" customWidth="1"/>
    <col min="9557" max="9557" width="23" style="18" bestFit="1" customWidth="1"/>
    <col min="9558" max="9558" width="21.28515625" style="18" bestFit="1" customWidth="1"/>
    <col min="9559" max="9559" width="20.28515625" style="18" bestFit="1" customWidth="1"/>
    <col min="9560" max="9560" width="21" style="18" bestFit="1" customWidth="1"/>
    <col min="9561" max="9561" width="18.85546875" style="18" bestFit="1" customWidth="1"/>
    <col min="9562" max="9562" width="80.7109375" style="18" customWidth="1"/>
    <col min="9563" max="9750" width="9.140625" style="18"/>
    <col min="9751" max="9751" width="2.5703125" style="18" customWidth="1"/>
    <col min="9752" max="9752" width="17.85546875" style="18" customWidth="1"/>
    <col min="9753" max="9753" width="41.5703125" style="18" customWidth="1"/>
    <col min="9754" max="9755" width="12" style="18" customWidth="1"/>
    <col min="9756" max="9756" width="17" style="18" customWidth="1"/>
    <col min="9757" max="9757" width="9.7109375" style="18" customWidth="1"/>
    <col min="9758" max="9758" width="12.28515625" style="18" customWidth="1"/>
    <col min="9759" max="9759" width="13.7109375" style="18" customWidth="1"/>
    <col min="9760" max="9760" width="13.5703125" style="18" bestFit="1" customWidth="1"/>
    <col min="9761" max="9761" width="13.5703125" style="18" customWidth="1"/>
    <col min="9762" max="9762" width="21" style="18" customWidth="1"/>
    <col min="9763" max="9766" width="13.42578125" style="18" customWidth="1"/>
    <col min="9767" max="9768" width="19" style="18" customWidth="1"/>
    <col min="9769" max="9769" width="34" style="18" customWidth="1"/>
    <col min="9770" max="9770" width="19" style="18" customWidth="1"/>
    <col min="9771" max="9771" width="20" style="18" bestFit="1" customWidth="1"/>
    <col min="9772" max="9772" width="20.28515625" style="18" bestFit="1" customWidth="1"/>
    <col min="9773" max="9773" width="26.7109375" style="18" customWidth="1"/>
    <col min="9774" max="9774" width="20.85546875" style="18" bestFit="1" customWidth="1"/>
    <col min="9775" max="9775" width="20.85546875" style="18" customWidth="1"/>
    <col min="9776" max="9776" width="18.85546875" style="18" customWidth="1"/>
    <col min="9777" max="9777" width="17.5703125" style="18" customWidth="1"/>
    <col min="9778" max="9779" width="19.42578125" style="18" customWidth="1"/>
    <col min="9780" max="9780" width="20.7109375" style="18" bestFit="1" customWidth="1"/>
    <col min="9781" max="9781" width="80.7109375" style="18" customWidth="1"/>
    <col min="9782" max="9782" width="14.7109375" style="18" bestFit="1" customWidth="1"/>
    <col min="9783" max="9783" width="18.140625" style="18" bestFit="1" customWidth="1"/>
    <col min="9784" max="9784" width="16.7109375" style="18" bestFit="1" customWidth="1"/>
    <col min="9785" max="9785" width="18.5703125" style="18" bestFit="1" customWidth="1"/>
    <col min="9786" max="9786" width="21.28515625" style="18" bestFit="1" customWidth="1"/>
    <col min="9787" max="9787" width="16.28515625" style="18" bestFit="1" customWidth="1"/>
    <col min="9788" max="9788" width="21.140625" style="18" bestFit="1" customWidth="1"/>
    <col min="9789" max="9789" width="19" style="18" bestFit="1" customWidth="1"/>
    <col min="9790" max="9790" width="19.140625" style="18" customWidth="1"/>
    <col min="9791" max="9791" width="16.7109375" style="18" customWidth="1"/>
    <col min="9792" max="9792" width="21.140625" style="18" bestFit="1" customWidth="1"/>
    <col min="9793" max="9793" width="20.42578125" style="18" bestFit="1" customWidth="1"/>
    <col min="9794" max="9794" width="21.140625" style="18" customWidth="1"/>
    <col min="9795" max="9795" width="20.5703125" style="18" bestFit="1" customWidth="1"/>
    <col min="9796" max="9796" width="19.7109375" style="18" bestFit="1" customWidth="1"/>
    <col min="9797" max="9797" width="20.28515625" style="18" customWidth="1"/>
    <col min="9798" max="9798" width="20.85546875" style="18" bestFit="1" customWidth="1"/>
    <col min="9799" max="9799" width="19.5703125" style="18" bestFit="1" customWidth="1"/>
    <col min="9800" max="9800" width="18" style="18" customWidth="1"/>
    <col min="9801" max="9801" width="20" style="18" bestFit="1" customWidth="1"/>
    <col min="9802" max="9802" width="35.7109375" style="18" customWidth="1"/>
    <col min="9803" max="9803" width="21.140625" style="18" bestFit="1" customWidth="1"/>
    <col min="9804" max="9804" width="20.5703125" style="18" bestFit="1" customWidth="1"/>
    <col min="9805" max="9805" width="19.42578125" style="18" bestFit="1" customWidth="1"/>
    <col min="9806" max="9806" width="18.5703125" style="18" bestFit="1" customWidth="1"/>
    <col min="9807" max="9807" width="20.5703125" style="18" bestFit="1" customWidth="1"/>
    <col min="9808" max="9808" width="21.28515625" style="18" bestFit="1" customWidth="1"/>
    <col min="9809" max="9809" width="15.42578125" style="18" customWidth="1"/>
    <col min="9810" max="9810" width="20.7109375" style="18" customWidth="1"/>
    <col min="9811" max="9811" width="21.28515625" style="18" customWidth="1"/>
    <col min="9812" max="9812" width="14.85546875" style="18" bestFit="1" customWidth="1"/>
    <col min="9813" max="9813" width="23" style="18" bestFit="1" customWidth="1"/>
    <col min="9814" max="9814" width="21.28515625" style="18" bestFit="1" customWidth="1"/>
    <col min="9815" max="9815" width="20.28515625" style="18" bestFit="1" customWidth="1"/>
    <col min="9816" max="9816" width="21" style="18" bestFit="1" customWidth="1"/>
    <col min="9817" max="9817" width="18.85546875" style="18" bestFit="1" customWidth="1"/>
    <col min="9818" max="9818" width="80.7109375" style="18" customWidth="1"/>
    <col min="9819" max="10006" width="9.140625" style="18"/>
    <col min="10007" max="10007" width="2.5703125" style="18" customWidth="1"/>
    <col min="10008" max="10008" width="17.85546875" style="18" customWidth="1"/>
    <col min="10009" max="10009" width="41.5703125" style="18" customWidth="1"/>
    <col min="10010" max="10011" width="12" style="18" customWidth="1"/>
    <col min="10012" max="10012" width="17" style="18" customWidth="1"/>
    <col min="10013" max="10013" width="9.7109375" style="18" customWidth="1"/>
    <col min="10014" max="10014" width="12.28515625" style="18" customWidth="1"/>
    <col min="10015" max="10015" width="13.7109375" style="18" customWidth="1"/>
    <col min="10016" max="10016" width="13.5703125" style="18" bestFit="1" customWidth="1"/>
    <col min="10017" max="10017" width="13.5703125" style="18" customWidth="1"/>
    <col min="10018" max="10018" width="21" style="18" customWidth="1"/>
    <col min="10019" max="10022" width="13.42578125" style="18" customWidth="1"/>
    <col min="10023" max="10024" width="19" style="18" customWidth="1"/>
    <col min="10025" max="10025" width="34" style="18" customWidth="1"/>
    <col min="10026" max="10026" width="19" style="18" customWidth="1"/>
    <col min="10027" max="10027" width="20" style="18" bestFit="1" customWidth="1"/>
    <col min="10028" max="10028" width="20.28515625" style="18" bestFit="1" customWidth="1"/>
    <col min="10029" max="10029" width="26.7109375" style="18" customWidth="1"/>
    <col min="10030" max="10030" width="20.85546875" style="18" bestFit="1" customWidth="1"/>
    <col min="10031" max="10031" width="20.85546875" style="18" customWidth="1"/>
    <col min="10032" max="10032" width="18.85546875" style="18" customWidth="1"/>
    <col min="10033" max="10033" width="17.5703125" style="18" customWidth="1"/>
    <col min="10034" max="10035" width="19.42578125" style="18" customWidth="1"/>
    <col min="10036" max="10036" width="20.7109375" style="18" bestFit="1" customWidth="1"/>
    <col min="10037" max="10037" width="80.7109375" style="18" customWidth="1"/>
    <col min="10038" max="10038" width="14.7109375" style="18" bestFit="1" customWidth="1"/>
    <col min="10039" max="10039" width="18.140625" style="18" bestFit="1" customWidth="1"/>
    <col min="10040" max="10040" width="16.7109375" style="18" bestFit="1" customWidth="1"/>
    <col min="10041" max="10041" width="18.5703125" style="18" bestFit="1" customWidth="1"/>
    <col min="10042" max="10042" width="21.28515625" style="18" bestFit="1" customWidth="1"/>
    <col min="10043" max="10043" width="16.28515625" style="18" bestFit="1" customWidth="1"/>
    <col min="10044" max="10044" width="21.140625" style="18" bestFit="1" customWidth="1"/>
    <col min="10045" max="10045" width="19" style="18" bestFit="1" customWidth="1"/>
    <col min="10046" max="10046" width="19.140625" style="18" customWidth="1"/>
    <col min="10047" max="10047" width="16.7109375" style="18" customWidth="1"/>
    <col min="10048" max="10048" width="21.140625" style="18" bestFit="1" customWidth="1"/>
    <col min="10049" max="10049" width="20.42578125" style="18" bestFit="1" customWidth="1"/>
    <col min="10050" max="10050" width="21.140625" style="18" customWidth="1"/>
    <col min="10051" max="10051" width="20.5703125" style="18" bestFit="1" customWidth="1"/>
    <col min="10052" max="10052" width="19.7109375" style="18" bestFit="1" customWidth="1"/>
    <col min="10053" max="10053" width="20.28515625" style="18" customWidth="1"/>
    <col min="10054" max="10054" width="20.85546875" style="18" bestFit="1" customWidth="1"/>
    <col min="10055" max="10055" width="19.5703125" style="18" bestFit="1" customWidth="1"/>
    <col min="10056" max="10056" width="18" style="18" customWidth="1"/>
    <col min="10057" max="10057" width="20" style="18" bestFit="1" customWidth="1"/>
    <col min="10058" max="10058" width="35.7109375" style="18" customWidth="1"/>
    <col min="10059" max="10059" width="21.140625" style="18" bestFit="1" customWidth="1"/>
    <col min="10060" max="10060" width="20.5703125" style="18" bestFit="1" customWidth="1"/>
    <col min="10061" max="10061" width="19.42578125" style="18" bestFit="1" customWidth="1"/>
    <col min="10062" max="10062" width="18.5703125" style="18" bestFit="1" customWidth="1"/>
    <col min="10063" max="10063" width="20.5703125" style="18" bestFit="1" customWidth="1"/>
    <col min="10064" max="10064" width="21.28515625" style="18" bestFit="1" customWidth="1"/>
    <col min="10065" max="10065" width="15.42578125" style="18" customWidth="1"/>
    <col min="10066" max="10066" width="20.7109375" style="18" customWidth="1"/>
    <col min="10067" max="10067" width="21.28515625" style="18" customWidth="1"/>
    <col min="10068" max="10068" width="14.85546875" style="18" bestFit="1" customWidth="1"/>
    <col min="10069" max="10069" width="23" style="18" bestFit="1" customWidth="1"/>
    <col min="10070" max="10070" width="21.28515625" style="18" bestFit="1" customWidth="1"/>
    <col min="10071" max="10071" width="20.28515625" style="18" bestFit="1" customWidth="1"/>
    <col min="10072" max="10072" width="21" style="18" bestFit="1" customWidth="1"/>
    <col min="10073" max="10073" width="18.85546875" style="18" bestFit="1" customWidth="1"/>
    <col min="10074" max="10074" width="80.7109375" style="18" customWidth="1"/>
    <col min="10075" max="10262" width="9.140625" style="18"/>
    <col min="10263" max="10263" width="2.5703125" style="18" customWidth="1"/>
    <col min="10264" max="10264" width="17.85546875" style="18" customWidth="1"/>
    <col min="10265" max="10265" width="41.5703125" style="18" customWidth="1"/>
    <col min="10266" max="10267" width="12" style="18" customWidth="1"/>
    <col min="10268" max="10268" width="17" style="18" customWidth="1"/>
    <col min="10269" max="10269" width="9.7109375" style="18" customWidth="1"/>
    <col min="10270" max="10270" width="12.28515625" style="18" customWidth="1"/>
    <col min="10271" max="10271" width="13.7109375" style="18" customWidth="1"/>
    <col min="10272" max="10272" width="13.5703125" style="18" bestFit="1" customWidth="1"/>
    <col min="10273" max="10273" width="13.5703125" style="18" customWidth="1"/>
    <col min="10274" max="10274" width="21" style="18" customWidth="1"/>
    <col min="10275" max="10278" width="13.42578125" style="18" customWidth="1"/>
    <col min="10279" max="10280" width="19" style="18" customWidth="1"/>
    <col min="10281" max="10281" width="34" style="18" customWidth="1"/>
    <col min="10282" max="10282" width="19" style="18" customWidth="1"/>
    <col min="10283" max="10283" width="20" style="18" bestFit="1" customWidth="1"/>
    <col min="10284" max="10284" width="20.28515625" style="18" bestFit="1" customWidth="1"/>
    <col min="10285" max="10285" width="26.7109375" style="18" customWidth="1"/>
    <col min="10286" max="10286" width="20.85546875" style="18" bestFit="1" customWidth="1"/>
    <col min="10287" max="10287" width="20.85546875" style="18" customWidth="1"/>
    <col min="10288" max="10288" width="18.85546875" style="18" customWidth="1"/>
    <col min="10289" max="10289" width="17.5703125" style="18" customWidth="1"/>
    <col min="10290" max="10291" width="19.42578125" style="18" customWidth="1"/>
    <col min="10292" max="10292" width="20.7109375" style="18" bestFit="1" customWidth="1"/>
    <col min="10293" max="10293" width="80.7109375" style="18" customWidth="1"/>
    <col min="10294" max="10294" width="14.7109375" style="18" bestFit="1" customWidth="1"/>
    <col min="10295" max="10295" width="18.140625" style="18" bestFit="1" customWidth="1"/>
    <col min="10296" max="10296" width="16.7109375" style="18" bestFit="1" customWidth="1"/>
    <col min="10297" max="10297" width="18.5703125" style="18" bestFit="1" customWidth="1"/>
    <col min="10298" max="10298" width="21.28515625" style="18" bestFit="1" customWidth="1"/>
    <col min="10299" max="10299" width="16.28515625" style="18" bestFit="1" customWidth="1"/>
    <col min="10300" max="10300" width="21.140625" style="18" bestFit="1" customWidth="1"/>
    <col min="10301" max="10301" width="19" style="18" bestFit="1" customWidth="1"/>
    <col min="10302" max="10302" width="19.140625" style="18" customWidth="1"/>
    <col min="10303" max="10303" width="16.7109375" style="18" customWidth="1"/>
    <col min="10304" max="10304" width="21.140625" style="18" bestFit="1" customWidth="1"/>
    <col min="10305" max="10305" width="20.42578125" style="18" bestFit="1" customWidth="1"/>
    <col min="10306" max="10306" width="21.140625" style="18" customWidth="1"/>
    <col min="10307" max="10307" width="20.5703125" style="18" bestFit="1" customWidth="1"/>
    <col min="10308" max="10308" width="19.7109375" style="18" bestFit="1" customWidth="1"/>
    <col min="10309" max="10309" width="20.28515625" style="18" customWidth="1"/>
    <col min="10310" max="10310" width="20.85546875" style="18" bestFit="1" customWidth="1"/>
    <col min="10311" max="10311" width="19.5703125" style="18" bestFit="1" customWidth="1"/>
    <col min="10312" max="10312" width="18" style="18" customWidth="1"/>
    <col min="10313" max="10313" width="20" style="18" bestFit="1" customWidth="1"/>
    <col min="10314" max="10314" width="35.7109375" style="18" customWidth="1"/>
    <col min="10315" max="10315" width="21.140625" style="18" bestFit="1" customWidth="1"/>
    <col min="10316" max="10316" width="20.5703125" style="18" bestFit="1" customWidth="1"/>
    <col min="10317" max="10317" width="19.42578125" style="18" bestFit="1" customWidth="1"/>
    <col min="10318" max="10318" width="18.5703125" style="18" bestFit="1" customWidth="1"/>
    <col min="10319" max="10319" width="20.5703125" style="18" bestFit="1" customWidth="1"/>
    <col min="10320" max="10320" width="21.28515625" style="18" bestFit="1" customWidth="1"/>
    <col min="10321" max="10321" width="15.42578125" style="18" customWidth="1"/>
    <col min="10322" max="10322" width="20.7109375" style="18" customWidth="1"/>
    <col min="10323" max="10323" width="21.28515625" style="18" customWidth="1"/>
    <col min="10324" max="10324" width="14.85546875" style="18" bestFit="1" customWidth="1"/>
    <col min="10325" max="10325" width="23" style="18" bestFit="1" customWidth="1"/>
    <col min="10326" max="10326" width="21.28515625" style="18" bestFit="1" customWidth="1"/>
    <col min="10327" max="10327" width="20.28515625" style="18" bestFit="1" customWidth="1"/>
    <col min="10328" max="10328" width="21" style="18" bestFit="1" customWidth="1"/>
    <col min="10329" max="10329" width="18.85546875" style="18" bestFit="1" customWidth="1"/>
    <col min="10330" max="10330" width="80.7109375" style="18" customWidth="1"/>
    <col min="10331" max="10518" width="9.140625" style="18"/>
    <col min="10519" max="10519" width="2.5703125" style="18" customWidth="1"/>
    <col min="10520" max="10520" width="17.85546875" style="18" customWidth="1"/>
    <col min="10521" max="10521" width="41.5703125" style="18" customWidth="1"/>
    <col min="10522" max="10523" width="12" style="18" customWidth="1"/>
    <col min="10524" max="10524" width="17" style="18" customWidth="1"/>
    <col min="10525" max="10525" width="9.7109375" style="18" customWidth="1"/>
    <col min="10526" max="10526" width="12.28515625" style="18" customWidth="1"/>
    <col min="10527" max="10527" width="13.7109375" style="18" customWidth="1"/>
    <col min="10528" max="10528" width="13.5703125" style="18" bestFit="1" customWidth="1"/>
    <col min="10529" max="10529" width="13.5703125" style="18" customWidth="1"/>
    <col min="10530" max="10530" width="21" style="18" customWidth="1"/>
    <col min="10531" max="10534" width="13.42578125" style="18" customWidth="1"/>
    <col min="10535" max="10536" width="19" style="18" customWidth="1"/>
    <col min="10537" max="10537" width="34" style="18" customWidth="1"/>
    <col min="10538" max="10538" width="19" style="18" customWidth="1"/>
    <col min="10539" max="10539" width="20" style="18" bestFit="1" customWidth="1"/>
    <col min="10540" max="10540" width="20.28515625" style="18" bestFit="1" customWidth="1"/>
    <col min="10541" max="10541" width="26.7109375" style="18" customWidth="1"/>
    <col min="10542" max="10542" width="20.85546875" style="18" bestFit="1" customWidth="1"/>
    <col min="10543" max="10543" width="20.85546875" style="18" customWidth="1"/>
    <col min="10544" max="10544" width="18.85546875" style="18" customWidth="1"/>
    <col min="10545" max="10545" width="17.5703125" style="18" customWidth="1"/>
    <col min="10546" max="10547" width="19.42578125" style="18" customWidth="1"/>
    <col min="10548" max="10548" width="20.7109375" style="18" bestFit="1" customWidth="1"/>
    <col min="10549" max="10549" width="80.7109375" style="18" customWidth="1"/>
    <col min="10550" max="10550" width="14.7109375" style="18" bestFit="1" customWidth="1"/>
    <col min="10551" max="10551" width="18.140625" style="18" bestFit="1" customWidth="1"/>
    <col min="10552" max="10552" width="16.7109375" style="18" bestFit="1" customWidth="1"/>
    <col min="10553" max="10553" width="18.5703125" style="18" bestFit="1" customWidth="1"/>
    <col min="10554" max="10554" width="21.28515625" style="18" bestFit="1" customWidth="1"/>
    <col min="10555" max="10555" width="16.28515625" style="18" bestFit="1" customWidth="1"/>
    <col min="10556" max="10556" width="21.140625" style="18" bestFit="1" customWidth="1"/>
    <col min="10557" max="10557" width="19" style="18" bestFit="1" customWidth="1"/>
    <col min="10558" max="10558" width="19.140625" style="18" customWidth="1"/>
    <col min="10559" max="10559" width="16.7109375" style="18" customWidth="1"/>
    <col min="10560" max="10560" width="21.140625" style="18" bestFit="1" customWidth="1"/>
    <col min="10561" max="10561" width="20.42578125" style="18" bestFit="1" customWidth="1"/>
    <col min="10562" max="10562" width="21.140625" style="18" customWidth="1"/>
    <col min="10563" max="10563" width="20.5703125" style="18" bestFit="1" customWidth="1"/>
    <col min="10564" max="10564" width="19.7109375" style="18" bestFit="1" customWidth="1"/>
    <col min="10565" max="10565" width="20.28515625" style="18" customWidth="1"/>
    <col min="10566" max="10566" width="20.85546875" style="18" bestFit="1" customWidth="1"/>
    <col min="10567" max="10567" width="19.5703125" style="18" bestFit="1" customWidth="1"/>
    <col min="10568" max="10568" width="18" style="18" customWidth="1"/>
    <col min="10569" max="10569" width="20" style="18" bestFit="1" customWidth="1"/>
    <col min="10570" max="10570" width="35.7109375" style="18" customWidth="1"/>
    <col min="10571" max="10571" width="21.140625" style="18" bestFit="1" customWidth="1"/>
    <col min="10572" max="10572" width="20.5703125" style="18" bestFit="1" customWidth="1"/>
    <col min="10573" max="10573" width="19.42578125" style="18" bestFit="1" customWidth="1"/>
    <col min="10574" max="10574" width="18.5703125" style="18" bestFit="1" customWidth="1"/>
    <col min="10575" max="10575" width="20.5703125" style="18" bestFit="1" customWidth="1"/>
    <col min="10576" max="10576" width="21.28515625" style="18" bestFit="1" customWidth="1"/>
    <col min="10577" max="10577" width="15.42578125" style="18" customWidth="1"/>
    <col min="10578" max="10578" width="20.7109375" style="18" customWidth="1"/>
    <col min="10579" max="10579" width="21.28515625" style="18" customWidth="1"/>
    <col min="10580" max="10580" width="14.85546875" style="18" bestFit="1" customWidth="1"/>
    <col min="10581" max="10581" width="23" style="18" bestFit="1" customWidth="1"/>
    <col min="10582" max="10582" width="21.28515625" style="18" bestFit="1" customWidth="1"/>
    <col min="10583" max="10583" width="20.28515625" style="18" bestFit="1" customWidth="1"/>
    <col min="10584" max="10584" width="21" style="18" bestFit="1" customWidth="1"/>
    <col min="10585" max="10585" width="18.85546875" style="18" bestFit="1" customWidth="1"/>
    <col min="10586" max="10586" width="80.7109375" style="18" customWidth="1"/>
    <col min="10587" max="10774" width="9.140625" style="18"/>
    <col min="10775" max="10775" width="2.5703125" style="18" customWidth="1"/>
    <col min="10776" max="10776" width="17.85546875" style="18" customWidth="1"/>
    <col min="10777" max="10777" width="41.5703125" style="18" customWidth="1"/>
    <col min="10778" max="10779" width="12" style="18" customWidth="1"/>
    <col min="10780" max="10780" width="17" style="18" customWidth="1"/>
    <col min="10781" max="10781" width="9.7109375" style="18" customWidth="1"/>
    <col min="10782" max="10782" width="12.28515625" style="18" customWidth="1"/>
    <col min="10783" max="10783" width="13.7109375" style="18" customWidth="1"/>
    <col min="10784" max="10784" width="13.5703125" style="18" bestFit="1" customWidth="1"/>
    <col min="10785" max="10785" width="13.5703125" style="18" customWidth="1"/>
    <col min="10786" max="10786" width="21" style="18" customWidth="1"/>
    <col min="10787" max="10790" width="13.42578125" style="18" customWidth="1"/>
    <col min="10791" max="10792" width="19" style="18" customWidth="1"/>
    <col min="10793" max="10793" width="34" style="18" customWidth="1"/>
    <col min="10794" max="10794" width="19" style="18" customWidth="1"/>
    <col min="10795" max="10795" width="20" style="18" bestFit="1" customWidth="1"/>
    <col min="10796" max="10796" width="20.28515625" style="18" bestFit="1" customWidth="1"/>
    <col min="10797" max="10797" width="26.7109375" style="18" customWidth="1"/>
    <col min="10798" max="10798" width="20.85546875" style="18" bestFit="1" customWidth="1"/>
    <col min="10799" max="10799" width="20.85546875" style="18" customWidth="1"/>
    <col min="10800" max="10800" width="18.85546875" style="18" customWidth="1"/>
    <col min="10801" max="10801" width="17.5703125" style="18" customWidth="1"/>
    <col min="10802" max="10803" width="19.42578125" style="18" customWidth="1"/>
    <col min="10804" max="10804" width="20.7109375" style="18" bestFit="1" customWidth="1"/>
    <col min="10805" max="10805" width="80.7109375" style="18" customWidth="1"/>
    <col min="10806" max="10806" width="14.7109375" style="18" bestFit="1" customWidth="1"/>
    <col min="10807" max="10807" width="18.140625" style="18" bestFit="1" customWidth="1"/>
    <col min="10808" max="10808" width="16.7109375" style="18" bestFit="1" customWidth="1"/>
    <col min="10809" max="10809" width="18.5703125" style="18" bestFit="1" customWidth="1"/>
    <col min="10810" max="10810" width="21.28515625" style="18" bestFit="1" customWidth="1"/>
    <col min="10811" max="10811" width="16.28515625" style="18" bestFit="1" customWidth="1"/>
    <col min="10812" max="10812" width="21.140625" style="18" bestFit="1" customWidth="1"/>
    <col min="10813" max="10813" width="19" style="18" bestFit="1" customWidth="1"/>
    <col min="10814" max="10814" width="19.140625" style="18" customWidth="1"/>
    <col min="10815" max="10815" width="16.7109375" style="18" customWidth="1"/>
    <col min="10816" max="10816" width="21.140625" style="18" bestFit="1" customWidth="1"/>
    <col min="10817" max="10817" width="20.42578125" style="18" bestFit="1" customWidth="1"/>
    <col min="10818" max="10818" width="21.140625" style="18" customWidth="1"/>
    <col min="10819" max="10819" width="20.5703125" style="18" bestFit="1" customWidth="1"/>
    <col min="10820" max="10820" width="19.7109375" style="18" bestFit="1" customWidth="1"/>
    <col min="10821" max="10821" width="20.28515625" style="18" customWidth="1"/>
    <col min="10822" max="10822" width="20.85546875" style="18" bestFit="1" customWidth="1"/>
    <col min="10823" max="10823" width="19.5703125" style="18" bestFit="1" customWidth="1"/>
    <col min="10824" max="10824" width="18" style="18" customWidth="1"/>
    <col min="10825" max="10825" width="20" style="18" bestFit="1" customWidth="1"/>
    <col min="10826" max="10826" width="35.7109375" style="18" customWidth="1"/>
    <col min="10827" max="10827" width="21.140625" style="18" bestFit="1" customWidth="1"/>
    <col min="10828" max="10828" width="20.5703125" style="18" bestFit="1" customWidth="1"/>
    <col min="10829" max="10829" width="19.42578125" style="18" bestFit="1" customWidth="1"/>
    <col min="10830" max="10830" width="18.5703125" style="18" bestFit="1" customWidth="1"/>
    <col min="10831" max="10831" width="20.5703125" style="18" bestFit="1" customWidth="1"/>
    <col min="10832" max="10832" width="21.28515625" style="18" bestFit="1" customWidth="1"/>
    <col min="10833" max="10833" width="15.42578125" style="18" customWidth="1"/>
    <col min="10834" max="10834" width="20.7109375" style="18" customWidth="1"/>
    <col min="10835" max="10835" width="21.28515625" style="18" customWidth="1"/>
    <col min="10836" max="10836" width="14.85546875" style="18" bestFit="1" customWidth="1"/>
    <col min="10837" max="10837" width="23" style="18" bestFit="1" customWidth="1"/>
    <col min="10838" max="10838" width="21.28515625" style="18" bestFit="1" customWidth="1"/>
    <col min="10839" max="10839" width="20.28515625" style="18" bestFit="1" customWidth="1"/>
    <col min="10840" max="10840" width="21" style="18" bestFit="1" customWidth="1"/>
    <col min="10841" max="10841" width="18.85546875" style="18" bestFit="1" customWidth="1"/>
    <col min="10842" max="10842" width="80.7109375" style="18" customWidth="1"/>
    <col min="10843" max="11030" width="9.140625" style="18"/>
    <col min="11031" max="11031" width="2.5703125" style="18" customWidth="1"/>
    <col min="11032" max="11032" width="17.85546875" style="18" customWidth="1"/>
    <col min="11033" max="11033" width="41.5703125" style="18" customWidth="1"/>
    <col min="11034" max="11035" width="12" style="18" customWidth="1"/>
    <col min="11036" max="11036" width="17" style="18" customWidth="1"/>
    <col min="11037" max="11037" width="9.7109375" style="18" customWidth="1"/>
    <col min="11038" max="11038" width="12.28515625" style="18" customWidth="1"/>
    <col min="11039" max="11039" width="13.7109375" style="18" customWidth="1"/>
    <col min="11040" max="11040" width="13.5703125" style="18" bestFit="1" customWidth="1"/>
    <col min="11041" max="11041" width="13.5703125" style="18" customWidth="1"/>
    <col min="11042" max="11042" width="21" style="18" customWidth="1"/>
    <col min="11043" max="11046" width="13.42578125" style="18" customWidth="1"/>
    <col min="11047" max="11048" width="19" style="18" customWidth="1"/>
    <col min="11049" max="11049" width="34" style="18" customWidth="1"/>
    <col min="11050" max="11050" width="19" style="18" customWidth="1"/>
    <col min="11051" max="11051" width="20" style="18" bestFit="1" customWidth="1"/>
    <col min="11052" max="11052" width="20.28515625" style="18" bestFit="1" customWidth="1"/>
    <col min="11053" max="11053" width="26.7109375" style="18" customWidth="1"/>
    <col min="11054" max="11054" width="20.85546875" style="18" bestFit="1" customWidth="1"/>
    <col min="11055" max="11055" width="20.85546875" style="18" customWidth="1"/>
    <col min="11056" max="11056" width="18.85546875" style="18" customWidth="1"/>
    <col min="11057" max="11057" width="17.5703125" style="18" customWidth="1"/>
    <col min="11058" max="11059" width="19.42578125" style="18" customWidth="1"/>
    <col min="11060" max="11060" width="20.7109375" style="18" bestFit="1" customWidth="1"/>
    <col min="11061" max="11061" width="80.7109375" style="18" customWidth="1"/>
    <col min="11062" max="11062" width="14.7109375" style="18" bestFit="1" customWidth="1"/>
    <col min="11063" max="11063" width="18.140625" style="18" bestFit="1" customWidth="1"/>
    <col min="11064" max="11064" width="16.7109375" style="18" bestFit="1" customWidth="1"/>
    <col min="11065" max="11065" width="18.5703125" style="18" bestFit="1" customWidth="1"/>
    <col min="11066" max="11066" width="21.28515625" style="18" bestFit="1" customWidth="1"/>
    <col min="11067" max="11067" width="16.28515625" style="18" bestFit="1" customWidth="1"/>
    <col min="11068" max="11068" width="21.140625" style="18" bestFit="1" customWidth="1"/>
    <col min="11069" max="11069" width="19" style="18" bestFit="1" customWidth="1"/>
    <col min="11070" max="11070" width="19.140625" style="18" customWidth="1"/>
    <col min="11071" max="11071" width="16.7109375" style="18" customWidth="1"/>
    <col min="11072" max="11072" width="21.140625" style="18" bestFit="1" customWidth="1"/>
    <col min="11073" max="11073" width="20.42578125" style="18" bestFit="1" customWidth="1"/>
    <col min="11074" max="11074" width="21.140625" style="18" customWidth="1"/>
    <col min="11075" max="11075" width="20.5703125" style="18" bestFit="1" customWidth="1"/>
    <col min="11076" max="11076" width="19.7109375" style="18" bestFit="1" customWidth="1"/>
    <col min="11077" max="11077" width="20.28515625" style="18" customWidth="1"/>
    <col min="11078" max="11078" width="20.85546875" style="18" bestFit="1" customWidth="1"/>
    <col min="11079" max="11079" width="19.5703125" style="18" bestFit="1" customWidth="1"/>
    <col min="11080" max="11080" width="18" style="18" customWidth="1"/>
    <col min="11081" max="11081" width="20" style="18" bestFit="1" customWidth="1"/>
    <col min="11082" max="11082" width="35.7109375" style="18" customWidth="1"/>
    <col min="11083" max="11083" width="21.140625" style="18" bestFit="1" customWidth="1"/>
    <col min="11084" max="11084" width="20.5703125" style="18" bestFit="1" customWidth="1"/>
    <col min="11085" max="11085" width="19.42578125" style="18" bestFit="1" customWidth="1"/>
    <col min="11086" max="11086" width="18.5703125" style="18" bestFit="1" customWidth="1"/>
    <col min="11087" max="11087" width="20.5703125" style="18" bestFit="1" customWidth="1"/>
    <col min="11088" max="11088" width="21.28515625" style="18" bestFit="1" customWidth="1"/>
    <col min="11089" max="11089" width="15.42578125" style="18" customWidth="1"/>
    <col min="11090" max="11090" width="20.7109375" style="18" customWidth="1"/>
    <col min="11091" max="11091" width="21.28515625" style="18" customWidth="1"/>
    <col min="11092" max="11092" width="14.85546875" style="18" bestFit="1" customWidth="1"/>
    <col min="11093" max="11093" width="23" style="18" bestFit="1" customWidth="1"/>
    <col min="11094" max="11094" width="21.28515625" style="18" bestFit="1" customWidth="1"/>
    <col min="11095" max="11095" width="20.28515625" style="18" bestFit="1" customWidth="1"/>
    <col min="11096" max="11096" width="21" style="18" bestFit="1" customWidth="1"/>
    <col min="11097" max="11097" width="18.85546875" style="18" bestFit="1" customWidth="1"/>
    <col min="11098" max="11098" width="80.7109375" style="18" customWidth="1"/>
    <col min="11099" max="11286" width="9.140625" style="18"/>
    <col min="11287" max="11287" width="2.5703125" style="18" customWidth="1"/>
    <col min="11288" max="11288" width="17.85546875" style="18" customWidth="1"/>
    <col min="11289" max="11289" width="41.5703125" style="18" customWidth="1"/>
    <col min="11290" max="11291" width="12" style="18" customWidth="1"/>
    <col min="11292" max="11292" width="17" style="18" customWidth="1"/>
    <col min="11293" max="11293" width="9.7109375" style="18" customWidth="1"/>
    <col min="11294" max="11294" width="12.28515625" style="18" customWidth="1"/>
    <col min="11295" max="11295" width="13.7109375" style="18" customWidth="1"/>
    <col min="11296" max="11296" width="13.5703125" style="18" bestFit="1" customWidth="1"/>
    <col min="11297" max="11297" width="13.5703125" style="18" customWidth="1"/>
    <col min="11298" max="11298" width="21" style="18" customWidth="1"/>
    <col min="11299" max="11302" width="13.42578125" style="18" customWidth="1"/>
    <col min="11303" max="11304" width="19" style="18" customWidth="1"/>
    <col min="11305" max="11305" width="34" style="18" customWidth="1"/>
    <col min="11306" max="11306" width="19" style="18" customWidth="1"/>
    <col min="11307" max="11307" width="20" style="18" bestFit="1" customWidth="1"/>
    <col min="11308" max="11308" width="20.28515625" style="18" bestFit="1" customWidth="1"/>
    <col min="11309" max="11309" width="26.7109375" style="18" customWidth="1"/>
    <col min="11310" max="11310" width="20.85546875" style="18" bestFit="1" customWidth="1"/>
    <col min="11311" max="11311" width="20.85546875" style="18" customWidth="1"/>
    <col min="11312" max="11312" width="18.85546875" style="18" customWidth="1"/>
    <col min="11313" max="11313" width="17.5703125" style="18" customWidth="1"/>
    <col min="11314" max="11315" width="19.42578125" style="18" customWidth="1"/>
    <col min="11316" max="11316" width="20.7109375" style="18" bestFit="1" customWidth="1"/>
    <col min="11317" max="11317" width="80.7109375" style="18" customWidth="1"/>
    <col min="11318" max="11318" width="14.7109375" style="18" bestFit="1" customWidth="1"/>
    <col min="11319" max="11319" width="18.140625" style="18" bestFit="1" customWidth="1"/>
    <col min="11320" max="11320" width="16.7109375" style="18" bestFit="1" customWidth="1"/>
    <col min="11321" max="11321" width="18.5703125" style="18" bestFit="1" customWidth="1"/>
    <col min="11322" max="11322" width="21.28515625" style="18" bestFit="1" customWidth="1"/>
    <col min="11323" max="11323" width="16.28515625" style="18" bestFit="1" customWidth="1"/>
    <col min="11324" max="11324" width="21.140625" style="18" bestFit="1" customWidth="1"/>
    <col min="11325" max="11325" width="19" style="18" bestFit="1" customWidth="1"/>
    <col min="11326" max="11326" width="19.140625" style="18" customWidth="1"/>
    <col min="11327" max="11327" width="16.7109375" style="18" customWidth="1"/>
    <col min="11328" max="11328" width="21.140625" style="18" bestFit="1" customWidth="1"/>
    <col min="11329" max="11329" width="20.42578125" style="18" bestFit="1" customWidth="1"/>
    <col min="11330" max="11330" width="21.140625" style="18" customWidth="1"/>
    <col min="11331" max="11331" width="20.5703125" style="18" bestFit="1" customWidth="1"/>
    <col min="11332" max="11332" width="19.7109375" style="18" bestFit="1" customWidth="1"/>
    <col min="11333" max="11333" width="20.28515625" style="18" customWidth="1"/>
    <col min="11334" max="11334" width="20.85546875" style="18" bestFit="1" customWidth="1"/>
    <col min="11335" max="11335" width="19.5703125" style="18" bestFit="1" customWidth="1"/>
    <col min="11336" max="11336" width="18" style="18" customWidth="1"/>
    <col min="11337" max="11337" width="20" style="18" bestFit="1" customWidth="1"/>
    <col min="11338" max="11338" width="35.7109375" style="18" customWidth="1"/>
    <col min="11339" max="11339" width="21.140625" style="18" bestFit="1" customWidth="1"/>
    <col min="11340" max="11340" width="20.5703125" style="18" bestFit="1" customWidth="1"/>
    <col min="11341" max="11341" width="19.42578125" style="18" bestFit="1" customWidth="1"/>
    <col min="11342" max="11342" width="18.5703125" style="18" bestFit="1" customWidth="1"/>
    <col min="11343" max="11343" width="20.5703125" style="18" bestFit="1" customWidth="1"/>
    <col min="11344" max="11344" width="21.28515625" style="18" bestFit="1" customWidth="1"/>
    <col min="11345" max="11345" width="15.42578125" style="18" customWidth="1"/>
    <col min="11346" max="11346" width="20.7109375" style="18" customWidth="1"/>
    <col min="11347" max="11347" width="21.28515625" style="18" customWidth="1"/>
    <col min="11348" max="11348" width="14.85546875" style="18" bestFit="1" customWidth="1"/>
    <col min="11349" max="11349" width="23" style="18" bestFit="1" customWidth="1"/>
    <col min="11350" max="11350" width="21.28515625" style="18" bestFit="1" customWidth="1"/>
    <col min="11351" max="11351" width="20.28515625" style="18" bestFit="1" customWidth="1"/>
    <col min="11352" max="11352" width="21" style="18" bestFit="1" customWidth="1"/>
    <col min="11353" max="11353" width="18.85546875" style="18" bestFit="1" customWidth="1"/>
    <col min="11354" max="11354" width="80.7109375" style="18" customWidth="1"/>
    <col min="11355" max="11542" width="9.140625" style="18"/>
    <col min="11543" max="11543" width="2.5703125" style="18" customWidth="1"/>
    <col min="11544" max="11544" width="17.85546875" style="18" customWidth="1"/>
    <col min="11545" max="11545" width="41.5703125" style="18" customWidth="1"/>
    <col min="11546" max="11547" width="12" style="18" customWidth="1"/>
    <col min="11548" max="11548" width="17" style="18" customWidth="1"/>
    <col min="11549" max="11549" width="9.7109375" style="18" customWidth="1"/>
    <col min="11550" max="11550" width="12.28515625" style="18" customWidth="1"/>
    <col min="11551" max="11551" width="13.7109375" style="18" customWidth="1"/>
    <col min="11552" max="11552" width="13.5703125" style="18" bestFit="1" customWidth="1"/>
    <col min="11553" max="11553" width="13.5703125" style="18" customWidth="1"/>
    <col min="11554" max="11554" width="21" style="18" customWidth="1"/>
    <col min="11555" max="11558" width="13.42578125" style="18" customWidth="1"/>
    <col min="11559" max="11560" width="19" style="18" customWidth="1"/>
    <col min="11561" max="11561" width="34" style="18" customWidth="1"/>
    <col min="11562" max="11562" width="19" style="18" customWidth="1"/>
    <col min="11563" max="11563" width="20" style="18" bestFit="1" customWidth="1"/>
    <col min="11564" max="11564" width="20.28515625" style="18" bestFit="1" customWidth="1"/>
    <col min="11565" max="11565" width="26.7109375" style="18" customWidth="1"/>
    <col min="11566" max="11566" width="20.85546875" style="18" bestFit="1" customWidth="1"/>
    <col min="11567" max="11567" width="20.85546875" style="18" customWidth="1"/>
    <col min="11568" max="11568" width="18.85546875" style="18" customWidth="1"/>
    <col min="11569" max="11569" width="17.5703125" style="18" customWidth="1"/>
    <col min="11570" max="11571" width="19.42578125" style="18" customWidth="1"/>
    <col min="11572" max="11572" width="20.7109375" style="18" bestFit="1" customWidth="1"/>
    <col min="11573" max="11573" width="80.7109375" style="18" customWidth="1"/>
    <col min="11574" max="11574" width="14.7109375" style="18" bestFit="1" customWidth="1"/>
    <col min="11575" max="11575" width="18.140625" style="18" bestFit="1" customWidth="1"/>
    <col min="11576" max="11576" width="16.7109375" style="18" bestFit="1" customWidth="1"/>
    <col min="11577" max="11577" width="18.5703125" style="18" bestFit="1" customWidth="1"/>
    <col min="11578" max="11578" width="21.28515625" style="18" bestFit="1" customWidth="1"/>
    <col min="11579" max="11579" width="16.28515625" style="18" bestFit="1" customWidth="1"/>
    <col min="11580" max="11580" width="21.140625" style="18" bestFit="1" customWidth="1"/>
    <col min="11581" max="11581" width="19" style="18" bestFit="1" customWidth="1"/>
    <col min="11582" max="11582" width="19.140625" style="18" customWidth="1"/>
    <col min="11583" max="11583" width="16.7109375" style="18" customWidth="1"/>
    <col min="11584" max="11584" width="21.140625" style="18" bestFit="1" customWidth="1"/>
    <col min="11585" max="11585" width="20.42578125" style="18" bestFit="1" customWidth="1"/>
    <col min="11586" max="11586" width="21.140625" style="18" customWidth="1"/>
    <col min="11587" max="11587" width="20.5703125" style="18" bestFit="1" customWidth="1"/>
    <col min="11588" max="11588" width="19.7109375" style="18" bestFit="1" customWidth="1"/>
    <col min="11589" max="11589" width="20.28515625" style="18" customWidth="1"/>
    <col min="11590" max="11590" width="20.85546875" style="18" bestFit="1" customWidth="1"/>
    <col min="11591" max="11591" width="19.5703125" style="18" bestFit="1" customWidth="1"/>
    <col min="11592" max="11592" width="18" style="18" customWidth="1"/>
    <col min="11593" max="11593" width="20" style="18" bestFit="1" customWidth="1"/>
    <col min="11594" max="11594" width="35.7109375" style="18" customWidth="1"/>
    <col min="11595" max="11595" width="21.140625" style="18" bestFit="1" customWidth="1"/>
    <col min="11596" max="11596" width="20.5703125" style="18" bestFit="1" customWidth="1"/>
    <col min="11597" max="11597" width="19.42578125" style="18" bestFit="1" customWidth="1"/>
    <col min="11598" max="11598" width="18.5703125" style="18" bestFit="1" customWidth="1"/>
    <col min="11599" max="11599" width="20.5703125" style="18" bestFit="1" customWidth="1"/>
    <col min="11600" max="11600" width="21.28515625" style="18" bestFit="1" customWidth="1"/>
    <col min="11601" max="11601" width="15.42578125" style="18" customWidth="1"/>
    <col min="11602" max="11602" width="20.7109375" style="18" customWidth="1"/>
    <col min="11603" max="11603" width="21.28515625" style="18" customWidth="1"/>
    <col min="11604" max="11604" width="14.85546875" style="18" bestFit="1" customWidth="1"/>
    <col min="11605" max="11605" width="23" style="18" bestFit="1" customWidth="1"/>
    <col min="11606" max="11606" width="21.28515625" style="18" bestFit="1" customWidth="1"/>
    <col min="11607" max="11607" width="20.28515625" style="18" bestFit="1" customWidth="1"/>
    <col min="11608" max="11608" width="21" style="18" bestFit="1" customWidth="1"/>
    <col min="11609" max="11609" width="18.85546875" style="18" bestFit="1" customWidth="1"/>
    <col min="11610" max="11610" width="80.7109375" style="18" customWidth="1"/>
    <col min="11611" max="11798" width="9.140625" style="18"/>
    <col min="11799" max="11799" width="2.5703125" style="18" customWidth="1"/>
    <col min="11800" max="11800" width="17.85546875" style="18" customWidth="1"/>
    <col min="11801" max="11801" width="41.5703125" style="18" customWidth="1"/>
    <col min="11802" max="11803" width="12" style="18" customWidth="1"/>
    <col min="11804" max="11804" width="17" style="18" customWidth="1"/>
    <col min="11805" max="11805" width="9.7109375" style="18" customWidth="1"/>
    <col min="11806" max="11806" width="12.28515625" style="18" customWidth="1"/>
    <col min="11807" max="11807" width="13.7109375" style="18" customWidth="1"/>
    <col min="11808" max="11808" width="13.5703125" style="18" bestFit="1" customWidth="1"/>
    <col min="11809" max="11809" width="13.5703125" style="18" customWidth="1"/>
    <col min="11810" max="11810" width="21" style="18" customWidth="1"/>
    <col min="11811" max="11814" width="13.42578125" style="18" customWidth="1"/>
    <col min="11815" max="11816" width="19" style="18" customWidth="1"/>
    <col min="11817" max="11817" width="34" style="18" customWidth="1"/>
    <col min="11818" max="11818" width="19" style="18" customWidth="1"/>
    <col min="11819" max="11819" width="20" style="18" bestFit="1" customWidth="1"/>
    <col min="11820" max="11820" width="20.28515625" style="18" bestFit="1" customWidth="1"/>
    <col min="11821" max="11821" width="26.7109375" style="18" customWidth="1"/>
    <col min="11822" max="11822" width="20.85546875" style="18" bestFit="1" customWidth="1"/>
    <col min="11823" max="11823" width="20.85546875" style="18" customWidth="1"/>
    <col min="11824" max="11824" width="18.85546875" style="18" customWidth="1"/>
    <col min="11825" max="11825" width="17.5703125" style="18" customWidth="1"/>
    <col min="11826" max="11827" width="19.42578125" style="18" customWidth="1"/>
    <col min="11828" max="11828" width="20.7109375" style="18" bestFit="1" customWidth="1"/>
    <col min="11829" max="11829" width="80.7109375" style="18" customWidth="1"/>
    <col min="11830" max="11830" width="14.7109375" style="18" bestFit="1" customWidth="1"/>
    <col min="11831" max="11831" width="18.140625" style="18" bestFit="1" customWidth="1"/>
    <col min="11832" max="11832" width="16.7109375" style="18" bestFit="1" customWidth="1"/>
    <col min="11833" max="11833" width="18.5703125" style="18" bestFit="1" customWidth="1"/>
    <col min="11834" max="11834" width="21.28515625" style="18" bestFit="1" customWidth="1"/>
    <col min="11835" max="11835" width="16.28515625" style="18" bestFit="1" customWidth="1"/>
    <col min="11836" max="11836" width="21.140625" style="18" bestFit="1" customWidth="1"/>
    <col min="11837" max="11837" width="19" style="18" bestFit="1" customWidth="1"/>
    <col min="11838" max="11838" width="19.140625" style="18" customWidth="1"/>
    <col min="11839" max="11839" width="16.7109375" style="18" customWidth="1"/>
    <col min="11840" max="11840" width="21.140625" style="18" bestFit="1" customWidth="1"/>
    <col min="11841" max="11841" width="20.42578125" style="18" bestFit="1" customWidth="1"/>
    <col min="11842" max="11842" width="21.140625" style="18" customWidth="1"/>
    <col min="11843" max="11843" width="20.5703125" style="18" bestFit="1" customWidth="1"/>
    <col min="11844" max="11844" width="19.7109375" style="18" bestFit="1" customWidth="1"/>
    <col min="11845" max="11845" width="20.28515625" style="18" customWidth="1"/>
    <col min="11846" max="11846" width="20.85546875" style="18" bestFit="1" customWidth="1"/>
    <col min="11847" max="11847" width="19.5703125" style="18" bestFit="1" customWidth="1"/>
    <col min="11848" max="11848" width="18" style="18" customWidth="1"/>
    <col min="11849" max="11849" width="20" style="18" bestFit="1" customWidth="1"/>
    <col min="11850" max="11850" width="35.7109375" style="18" customWidth="1"/>
    <col min="11851" max="11851" width="21.140625" style="18" bestFit="1" customWidth="1"/>
    <col min="11852" max="11852" width="20.5703125" style="18" bestFit="1" customWidth="1"/>
    <col min="11853" max="11853" width="19.42578125" style="18" bestFit="1" customWidth="1"/>
    <col min="11854" max="11854" width="18.5703125" style="18" bestFit="1" customWidth="1"/>
    <col min="11855" max="11855" width="20.5703125" style="18" bestFit="1" customWidth="1"/>
    <col min="11856" max="11856" width="21.28515625" style="18" bestFit="1" customWidth="1"/>
    <col min="11857" max="11857" width="15.42578125" style="18" customWidth="1"/>
    <col min="11858" max="11858" width="20.7109375" style="18" customWidth="1"/>
    <col min="11859" max="11859" width="21.28515625" style="18" customWidth="1"/>
    <col min="11860" max="11860" width="14.85546875" style="18" bestFit="1" customWidth="1"/>
    <col min="11861" max="11861" width="23" style="18" bestFit="1" customWidth="1"/>
    <col min="11862" max="11862" width="21.28515625" style="18" bestFit="1" customWidth="1"/>
    <col min="11863" max="11863" width="20.28515625" style="18" bestFit="1" customWidth="1"/>
    <col min="11864" max="11864" width="21" style="18" bestFit="1" customWidth="1"/>
    <col min="11865" max="11865" width="18.85546875" style="18" bestFit="1" customWidth="1"/>
    <col min="11866" max="11866" width="80.7109375" style="18" customWidth="1"/>
    <col min="11867" max="12054" width="9.140625" style="18"/>
    <col min="12055" max="12055" width="2.5703125" style="18" customWidth="1"/>
    <col min="12056" max="12056" width="17.85546875" style="18" customWidth="1"/>
    <col min="12057" max="12057" width="41.5703125" style="18" customWidth="1"/>
    <col min="12058" max="12059" width="12" style="18" customWidth="1"/>
    <col min="12060" max="12060" width="17" style="18" customWidth="1"/>
    <col min="12061" max="12061" width="9.7109375" style="18" customWidth="1"/>
    <col min="12062" max="12062" width="12.28515625" style="18" customWidth="1"/>
    <col min="12063" max="12063" width="13.7109375" style="18" customWidth="1"/>
    <col min="12064" max="12064" width="13.5703125" style="18" bestFit="1" customWidth="1"/>
    <col min="12065" max="12065" width="13.5703125" style="18" customWidth="1"/>
    <col min="12066" max="12066" width="21" style="18" customWidth="1"/>
    <col min="12067" max="12070" width="13.42578125" style="18" customWidth="1"/>
    <col min="12071" max="12072" width="19" style="18" customWidth="1"/>
    <col min="12073" max="12073" width="34" style="18" customWidth="1"/>
    <col min="12074" max="12074" width="19" style="18" customWidth="1"/>
    <col min="12075" max="12075" width="20" style="18" bestFit="1" customWidth="1"/>
    <col min="12076" max="12076" width="20.28515625" style="18" bestFit="1" customWidth="1"/>
    <col min="12077" max="12077" width="26.7109375" style="18" customWidth="1"/>
    <col min="12078" max="12078" width="20.85546875" style="18" bestFit="1" customWidth="1"/>
    <col min="12079" max="12079" width="20.85546875" style="18" customWidth="1"/>
    <col min="12080" max="12080" width="18.85546875" style="18" customWidth="1"/>
    <col min="12081" max="12081" width="17.5703125" style="18" customWidth="1"/>
    <col min="12082" max="12083" width="19.42578125" style="18" customWidth="1"/>
    <col min="12084" max="12084" width="20.7109375" style="18" bestFit="1" customWidth="1"/>
    <col min="12085" max="12085" width="80.7109375" style="18" customWidth="1"/>
    <col min="12086" max="12086" width="14.7109375" style="18" bestFit="1" customWidth="1"/>
    <col min="12087" max="12087" width="18.140625" style="18" bestFit="1" customWidth="1"/>
    <col min="12088" max="12088" width="16.7109375" style="18" bestFit="1" customWidth="1"/>
    <col min="12089" max="12089" width="18.5703125" style="18" bestFit="1" customWidth="1"/>
    <col min="12090" max="12090" width="21.28515625" style="18" bestFit="1" customWidth="1"/>
    <col min="12091" max="12091" width="16.28515625" style="18" bestFit="1" customWidth="1"/>
    <col min="12092" max="12092" width="21.140625" style="18" bestFit="1" customWidth="1"/>
    <col min="12093" max="12093" width="19" style="18" bestFit="1" customWidth="1"/>
    <col min="12094" max="12094" width="19.140625" style="18" customWidth="1"/>
    <col min="12095" max="12095" width="16.7109375" style="18" customWidth="1"/>
    <col min="12096" max="12096" width="21.140625" style="18" bestFit="1" customWidth="1"/>
    <col min="12097" max="12097" width="20.42578125" style="18" bestFit="1" customWidth="1"/>
    <col min="12098" max="12098" width="21.140625" style="18" customWidth="1"/>
    <col min="12099" max="12099" width="20.5703125" style="18" bestFit="1" customWidth="1"/>
    <col min="12100" max="12100" width="19.7109375" style="18" bestFit="1" customWidth="1"/>
    <col min="12101" max="12101" width="20.28515625" style="18" customWidth="1"/>
    <col min="12102" max="12102" width="20.85546875" style="18" bestFit="1" customWidth="1"/>
    <col min="12103" max="12103" width="19.5703125" style="18" bestFit="1" customWidth="1"/>
    <col min="12104" max="12104" width="18" style="18" customWidth="1"/>
    <col min="12105" max="12105" width="20" style="18" bestFit="1" customWidth="1"/>
    <col min="12106" max="12106" width="35.7109375" style="18" customWidth="1"/>
    <col min="12107" max="12107" width="21.140625" style="18" bestFit="1" customWidth="1"/>
    <col min="12108" max="12108" width="20.5703125" style="18" bestFit="1" customWidth="1"/>
    <col min="12109" max="12109" width="19.42578125" style="18" bestFit="1" customWidth="1"/>
    <col min="12110" max="12110" width="18.5703125" style="18" bestFit="1" customWidth="1"/>
    <col min="12111" max="12111" width="20.5703125" style="18" bestFit="1" customWidth="1"/>
    <col min="12112" max="12112" width="21.28515625" style="18" bestFit="1" customWidth="1"/>
    <col min="12113" max="12113" width="15.42578125" style="18" customWidth="1"/>
    <col min="12114" max="12114" width="20.7109375" style="18" customWidth="1"/>
    <col min="12115" max="12115" width="21.28515625" style="18" customWidth="1"/>
    <col min="12116" max="12116" width="14.85546875" style="18" bestFit="1" customWidth="1"/>
    <col min="12117" max="12117" width="23" style="18" bestFit="1" customWidth="1"/>
    <col min="12118" max="12118" width="21.28515625" style="18" bestFit="1" customWidth="1"/>
    <col min="12119" max="12119" width="20.28515625" style="18" bestFit="1" customWidth="1"/>
    <col min="12120" max="12120" width="21" style="18" bestFit="1" customWidth="1"/>
    <col min="12121" max="12121" width="18.85546875" style="18" bestFit="1" customWidth="1"/>
    <col min="12122" max="12122" width="80.7109375" style="18" customWidth="1"/>
    <col min="12123" max="12310" width="9.140625" style="18"/>
    <col min="12311" max="12311" width="2.5703125" style="18" customWidth="1"/>
    <col min="12312" max="12312" width="17.85546875" style="18" customWidth="1"/>
    <col min="12313" max="12313" width="41.5703125" style="18" customWidth="1"/>
    <col min="12314" max="12315" width="12" style="18" customWidth="1"/>
    <col min="12316" max="12316" width="17" style="18" customWidth="1"/>
    <col min="12317" max="12317" width="9.7109375" style="18" customWidth="1"/>
    <col min="12318" max="12318" width="12.28515625" style="18" customWidth="1"/>
    <col min="12319" max="12319" width="13.7109375" style="18" customWidth="1"/>
    <col min="12320" max="12320" width="13.5703125" style="18" bestFit="1" customWidth="1"/>
    <col min="12321" max="12321" width="13.5703125" style="18" customWidth="1"/>
    <col min="12322" max="12322" width="21" style="18" customWidth="1"/>
    <col min="12323" max="12326" width="13.42578125" style="18" customWidth="1"/>
    <col min="12327" max="12328" width="19" style="18" customWidth="1"/>
    <col min="12329" max="12329" width="34" style="18" customWidth="1"/>
    <col min="12330" max="12330" width="19" style="18" customWidth="1"/>
    <col min="12331" max="12331" width="20" style="18" bestFit="1" customWidth="1"/>
    <col min="12332" max="12332" width="20.28515625" style="18" bestFit="1" customWidth="1"/>
    <col min="12333" max="12333" width="26.7109375" style="18" customWidth="1"/>
    <col min="12334" max="12334" width="20.85546875" style="18" bestFit="1" customWidth="1"/>
    <col min="12335" max="12335" width="20.85546875" style="18" customWidth="1"/>
    <col min="12336" max="12336" width="18.85546875" style="18" customWidth="1"/>
    <col min="12337" max="12337" width="17.5703125" style="18" customWidth="1"/>
    <col min="12338" max="12339" width="19.42578125" style="18" customWidth="1"/>
    <col min="12340" max="12340" width="20.7109375" style="18" bestFit="1" customWidth="1"/>
    <col min="12341" max="12341" width="80.7109375" style="18" customWidth="1"/>
    <col min="12342" max="12342" width="14.7109375" style="18" bestFit="1" customWidth="1"/>
    <col min="12343" max="12343" width="18.140625" style="18" bestFit="1" customWidth="1"/>
    <col min="12344" max="12344" width="16.7109375" style="18" bestFit="1" customWidth="1"/>
    <col min="12345" max="12345" width="18.5703125" style="18" bestFit="1" customWidth="1"/>
    <col min="12346" max="12346" width="21.28515625" style="18" bestFit="1" customWidth="1"/>
    <col min="12347" max="12347" width="16.28515625" style="18" bestFit="1" customWidth="1"/>
    <col min="12348" max="12348" width="21.140625" style="18" bestFit="1" customWidth="1"/>
    <col min="12349" max="12349" width="19" style="18" bestFit="1" customWidth="1"/>
    <col min="12350" max="12350" width="19.140625" style="18" customWidth="1"/>
    <col min="12351" max="12351" width="16.7109375" style="18" customWidth="1"/>
    <col min="12352" max="12352" width="21.140625" style="18" bestFit="1" customWidth="1"/>
    <col min="12353" max="12353" width="20.42578125" style="18" bestFit="1" customWidth="1"/>
    <col min="12354" max="12354" width="21.140625" style="18" customWidth="1"/>
    <col min="12355" max="12355" width="20.5703125" style="18" bestFit="1" customWidth="1"/>
    <col min="12356" max="12356" width="19.7109375" style="18" bestFit="1" customWidth="1"/>
    <col min="12357" max="12357" width="20.28515625" style="18" customWidth="1"/>
    <col min="12358" max="12358" width="20.85546875" style="18" bestFit="1" customWidth="1"/>
    <col min="12359" max="12359" width="19.5703125" style="18" bestFit="1" customWidth="1"/>
    <col min="12360" max="12360" width="18" style="18" customWidth="1"/>
    <col min="12361" max="12361" width="20" style="18" bestFit="1" customWidth="1"/>
    <col min="12362" max="12362" width="35.7109375" style="18" customWidth="1"/>
    <col min="12363" max="12363" width="21.140625" style="18" bestFit="1" customWidth="1"/>
    <col min="12364" max="12364" width="20.5703125" style="18" bestFit="1" customWidth="1"/>
    <col min="12365" max="12365" width="19.42578125" style="18" bestFit="1" customWidth="1"/>
    <col min="12366" max="12366" width="18.5703125" style="18" bestFit="1" customWidth="1"/>
    <col min="12367" max="12367" width="20.5703125" style="18" bestFit="1" customWidth="1"/>
    <col min="12368" max="12368" width="21.28515625" style="18" bestFit="1" customWidth="1"/>
    <col min="12369" max="12369" width="15.42578125" style="18" customWidth="1"/>
    <col min="12370" max="12370" width="20.7109375" style="18" customWidth="1"/>
    <col min="12371" max="12371" width="21.28515625" style="18" customWidth="1"/>
    <col min="12372" max="12372" width="14.85546875" style="18" bestFit="1" customWidth="1"/>
    <col min="12373" max="12373" width="23" style="18" bestFit="1" customWidth="1"/>
    <col min="12374" max="12374" width="21.28515625" style="18" bestFit="1" customWidth="1"/>
    <col min="12375" max="12375" width="20.28515625" style="18" bestFit="1" customWidth="1"/>
    <col min="12376" max="12376" width="21" style="18" bestFit="1" customWidth="1"/>
    <col min="12377" max="12377" width="18.85546875" style="18" bestFit="1" customWidth="1"/>
    <col min="12378" max="12378" width="80.7109375" style="18" customWidth="1"/>
    <col min="12379" max="12566" width="9.140625" style="18"/>
    <col min="12567" max="12567" width="2.5703125" style="18" customWidth="1"/>
    <col min="12568" max="12568" width="17.85546875" style="18" customWidth="1"/>
    <col min="12569" max="12569" width="41.5703125" style="18" customWidth="1"/>
    <col min="12570" max="12571" width="12" style="18" customWidth="1"/>
    <col min="12572" max="12572" width="17" style="18" customWidth="1"/>
    <col min="12573" max="12573" width="9.7109375" style="18" customWidth="1"/>
    <col min="12574" max="12574" width="12.28515625" style="18" customWidth="1"/>
    <col min="12575" max="12575" width="13.7109375" style="18" customWidth="1"/>
    <col min="12576" max="12576" width="13.5703125" style="18" bestFit="1" customWidth="1"/>
    <col min="12577" max="12577" width="13.5703125" style="18" customWidth="1"/>
    <col min="12578" max="12578" width="21" style="18" customWidth="1"/>
    <col min="12579" max="12582" width="13.42578125" style="18" customWidth="1"/>
    <col min="12583" max="12584" width="19" style="18" customWidth="1"/>
    <col min="12585" max="12585" width="34" style="18" customWidth="1"/>
    <col min="12586" max="12586" width="19" style="18" customWidth="1"/>
    <col min="12587" max="12587" width="20" style="18" bestFit="1" customWidth="1"/>
    <col min="12588" max="12588" width="20.28515625" style="18" bestFit="1" customWidth="1"/>
    <col min="12589" max="12589" width="26.7109375" style="18" customWidth="1"/>
    <col min="12590" max="12590" width="20.85546875" style="18" bestFit="1" customWidth="1"/>
    <col min="12591" max="12591" width="20.85546875" style="18" customWidth="1"/>
    <col min="12592" max="12592" width="18.85546875" style="18" customWidth="1"/>
    <col min="12593" max="12593" width="17.5703125" style="18" customWidth="1"/>
    <col min="12594" max="12595" width="19.42578125" style="18" customWidth="1"/>
    <col min="12596" max="12596" width="20.7109375" style="18" bestFit="1" customWidth="1"/>
    <col min="12597" max="12597" width="80.7109375" style="18" customWidth="1"/>
    <col min="12598" max="12598" width="14.7109375" style="18" bestFit="1" customWidth="1"/>
    <col min="12599" max="12599" width="18.140625" style="18" bestFit="1" customWidth="1"/>
    <col min="12600" max="12600" width="16.7109375" style="18" bestFit="1" customWidth="1"/>
    <col min="12601" max="12601" width="18.5703125" style="18" bestFit="1" customWidth="1"/>
    <col min="12602" max="12602" width="21.28515625" style="18" bestFit="1" customWidth="1"/>
    <col min="12603" max="12603" width="16.28515625" style="18" bestFit="1" customWidth="1"/>
    <col min="12604" max="12604" width="21.140625" style="18" bestFit="1" customWidth="1"/>
    <col min="12605" max="12605" width="19" style="18" bestFit="1" customWidth="1"/>
    <col min="12606" max="12606" width="19.140625" style="18" customWidth="1"/>
    <col min="12607" max="12607" width="16.7109375" style="18" customWidth="1"/>
    <col min="12608" max="12608" width="21.140625" style="18" bestFit="1" customWidth="1"/>
    <col min="12609" max="12609" width="20.42578125" style="18" bestFit="1" customWidth="1"/>
    <col min="12610" max="12610" width="21.140625" style="18" customWidth="1"/>
    <col min="12611" max="12611" width="20.5703125" style="18" bestFit="1" customWidth="1"/>
    <col min="12612" max="12612" width="19.7109375" style="18" bestFit="1" customWidth="1"/>
    <col min="12613" max="12613" width="20.28515625" style="18" customWidth="1"/>
    <col min="12614" max="12614" width="20.85546875" style="18" bestFit="1" customWidth="1"/>
    <col min="12615" max="12615" width="19.5703125" style="18" bestFit="1" customWidth="1"/>
    <col min="12616" max="12616" width="18" style="18" customWidth="1"/>
    <col min="12617" max="12617" width="20" style="18" bestFit="1" customWidth="1"/>
    <col min="12618" max="12618" width="35.7109375" style="18" customWidth="1"/>
    <col min="12619" max="12619" width="21.140625" style="18" bestFit="1" customWidth="1"/>
    <col min="12620" max="12620" width="20.5703125" style="18" bestFit="1" customWidth="1"/>
    <col min="12621" max="12621" width="19.42578125" style="18" bestFit="1" customWidth="1"/>
    <col min="12622" max="12622" width="18.5703125" style="18" bestFit="1" customWidth="1"/>
    <col min="12623" max="12623" width="20.5703125" style="18" bestFit="1" customWidth="1"/>
    <col min="12624" max="12624" width="21.28515625" style="18" bestFit="1" customWidth="1"/>
    <col min="12625" max="12625" width="15.42578125" style="18" customWidth="1"/>
    <col min="12626" max="12626" width="20.7109375" style="18" customWidth="1"/>
    <col min="12627" max="12627" width="21.28515625" style="18" customWidth="1"/>
    <col min="12628" max="12628" width="14.85546875" style="18" bestFit="1" customWidth="1"/>
    <col min="12629" max="12629" width="23" style="18" bestFit="1" customWidth="1"/>
    <col min="12630" max="12630" width="21.28515625" style="18" bestFit="1" customWidth="1"/>
    <col min="12631" max="12631" width="20.28515625" style="18" bestFit="1" customWidth="1"/>
    <col min="12632" max="12632" width="21" style="18" bestFit="1" customWidth="1"/>
    <col min="12633" max="12633" width="18.85546875" style="18" bestFit="1" customWidth="1"/>
    <col min="12634" max="12634" width="80.7109375" style="18" customWidth="1"/>
    <col min="12635" max="12822" width="9.140625" style="18"/>
    <col min="12823" max="12823" width="2.5703125" style="18" customWidth="1"/>
    <col min="12824" max="12824" width="17.85546875" style="18" customWidth="1"/>
    <col min="12825" max="12825" width="41.5703125" style="18" customWidth="1"/>
    <col min="12826" max="12827" width="12" style="18" customWidth="1"/>
    <col min="12828" max="12828" width="17" style="18" customWidth="1"/>
    <col min="12829" max="12829" width="9.7109375" style="18" customWidth="1"/>
    <col min="12830" max="12830" width="12.28515625" style="18" customWidth="1"/>
    <col min="12831" max="12831" width="13.7109375" style="18" customWidth="1"/>
    <col min="12832" max="12832" width="13.5703125" style="18" bestFit="1" customWidth="1"/>
    <col min="12833" max="12833" width="13.5703125" style="18" customWidth="1"/>
    <col min="12834" max="12834" width="21" style="18" customWidth="1"/>
    <col min="12835" max="12838" width="13.42578125" style="18" customWidth="1"/>
    <col min="12839" max="12840" width="19" style="18" customWidth="1"/>
    <col min="12841" max="12841" width="34" style="18" customWidth="1"/>
    <col min="12842" max="12842" width="19" style="18" customWidth="1"/>
    <col min="12843" max="12843" width="20" style="18" bestFit="1" customWidth="1"/>
    <col min="12844" max="12844" width="20.28515625" style="18" bestFit="1" customWidth="1"/>
    <col min="12845" max="12845" width="26.7109375" style="18" customWidth="1"/>
    <col min="12846" max="12846" width="20.85546875" style="18" bestFit="1" customWidth="1"/>
    <col min="12847" max="12847" width="20.85546875" style="18" customWidth="1"/>
    <col min="12848" max="12848" width="18.85546875" style="18" customWidth="1"/>
    <col min="12849" max="12849" width="17.5703125" style="18" customWidth="1"/>
    <col min="12850" max="12851" width="19.42578125" style="18" customWidth="1"/>
    <col min="12852" max="12852" width="20.7109375" style="18" bestFit="1" customWidth="1"/>
    <col min="12853" max="12853" width="80.7109375" style="18" customWidth="1"/>
    <col min="12854" max="12854" width="14.7109375" style="18" bestFit="1" customWidth="1"/>
    <col min="12855" max="12855" width="18.140625" style="18" bestFit="1" customWidth="1"/>
    <col min="12856" max="12856" width="16.7109375" style="18" bestFit="1" customWidth="1"/>
    <col min="12857" max="12857" width="18.5703125" style="18" bestFit="1" customWidth="1"/>
    <col min="12858" max="12858" width="21.28515625" style="18" bestFit="1" customWidth="1"/>
    <col min="12859" max="12859" width="16.28515625" style="18" bestFit="1" customWidth="1"/>
    <col min="12860" max="12860" width="21.140625" style="18" bestFit="1" customWidth="1"/>
    <col min="12861" max="12861" width="19" style="18" bestFit="1" customWidth="1"/>
    <col min="12862" max="12862" width="19.140625" style="18" customWidth="1"/>
    <col min="12863" max="12863" width="16.7109375" style="18" customWidth="1"/>
    <col min="12864" max="12864" width="21.140625" style="18" bestFit="1" customWidth="1"/>
    <col min="12865" max="12865" width="20.42578125" style="18" bestFit="1" customWidth="1"/>
    <col min="12866" max="12866" width="21.140625" style="18" customWidth="1"/>
    <col min="12867" max="12867" width="20.5703125" style="18" bestFit="1" customWidth="1"/>
    <col min="12868" max="12868" width="19.7109375" style="18" bestFit="1" customWidth="1"/>
    <col min="12869" max="12869" width="20.28515625" style="18" customWidth="1"/>
    <col min="12870" max="12870" width="20.85546875" style="18" bestFit="1" customWidth="1"/>
    <col min="12871" max="12871" width="19.5703125" style="18" bestFit="1" customWidth="1"/>
    <col min="12872" max="12872" width="18" style="18" customWidth="1"/>
    <col min="12873" max="12873" width="20" style="18" bestFit="1" customWidth="1"/>
    <col min="12874" max="12874" width="35.7109375" style="18" customWidth="1"/>
    <col min="12875" max="12875" width="21.140625" style="18" bestFit="1" customWidth="1"/>
    <col min="12876" max="12876" width="20.5703125" style="18" bestFit="1" customWidth="1"/>
    <col min="12877" max="12877" width="19.42578125" style="18" bestFit="1" customWidth="1"/>
    <col min="12878" max="12878" width="18.5703125" style="18" bestFit="1" customWidth="1"/>
    <col min="12879" max="12879" width="20.5703125" style="18" bestFit="1" customWidth="1"/>
    <col min="12880" max="12880" width="21.28515625" style="18" bestFit="1" customWidth="1"/>
    <col min="12881" max="12881" width="15.42578125" style="18" customWidth="1"/>
    <col min="12882" max="12882" width="20.7109375" style="18" customWidth="1"/>
    <col min="12883" max="12883" width="21.28515625" style="18" customWidth="1"/>
    <col min="12884" max="12884" width="14.85546875" style="18" bestFit="1" customWidth="1"/>
    <col min="12885" max="12885" width="23" style="18" bestFit="1" customWidth="1"/>
    <col min="12886" max="12886" width="21.28515625" style="18" bestFit="1" customWidth="1"/>
    <col min="12887" max="12887" width="20.28515625" style="18" bestFit="1" customWidth="1"/>
    <col min="12888" max="12888" width="21" style="18" bestFit="1" customWidth="1"/>
    <col min="12889" max="12889" width="18.85546875" style="18" bestFit="1" customWidth="1"/>
    <col min="12890" max="12890" width="80.7109375" style="18" customWidth="1"/>
    <col min="12891" max="13078" width="9.140625" style="18"/>
    <col min="13079" max="13079" width="2.5703125" style="18" customWidth="1"/>
    <col min="13080" max="13080" width="17.85546875" style="18" customWidth="1"/>
    <col min="13081" max="13081" width="41.5703125" style="18" customWidth="1"/>
    <col min="13082" max="13083" width="12" style="18" customWidth="1"/>
    <col min="13084" max="13084" width="17" style="18" customWidth="1"/>
    <col min="13085" max="13085" width="9.7109375" style="18" customWidth="1"/>
    <col min="13086" max="13086" width="12.28515625" style="18" customWidth="1"/>
    <col min="13087" max="13087" width="13.7109375" style="18" customWidth="1"/>
    <col min="13088" max="13088" width="13.5703125" style="18" bestFit="1" customWidth="1"/>
    <col min="13089" max="13089" width="13.5703125" style="18" customWidth="1"/>
    <col min="13090" max="13090" width="21" style="18" customWidth="1"/>
    <col min="13091" max="13094" width="13.42578125" style="18" customWidth="1"/>
    <col min="13095" max="13096" width="19" style="18" customWidth="1"/>
    <col min="13097" max="13097" width="34" style="18" customWidth="1"/>
    <col min="13098" max="13098" width="19" style="18" customWidth="1"/>
    <col min="13099" max="13099" width="20" style="18" bestFit="1" customWidth="1"/>
    <col min="13100" max="13100" width="20.28515625" style="18" bestFit="1" customWidth="1"/>
    <col min="13101" max="13101" width="26.7109375" style="18" customWidth="1"/>
    <col min="13102" max="13102" width="20.85546875" style="18" bestFit="1" customWidth="1"/>
    <col min="13103" max="13103" width="20.85546875" style="18" customWidth="1"/>
    <col min="13104" max="13104" width="18.85546875" style="18" customWidth="1"/>
    <col min="13105" max="13105" width="17.5703125" style="18" customWidth="1"/>
    <col min="13106" max="13107" width="19.42578125" style="18" customWidth="1"/>
    <col min="13108" max="13108" width="20.7109375" style="18" bestFit="1" customWidth="1"/>
    <col min="13109" max="13109" width="80.7109375" style="18" customWidth="1"/>
    <col min="13110" max="13110" width="14.7109375" style="18" bestFit="1" customWidth="1"/>
    <col min="13111" max="13111" width="18.140625" style="18" bestFit="1" customWidth="1"/>
    <col min="13112" max="13112" width="16.7109375" style="18" bestFit="1" customWidth="1"/>
    <col min="13113" max="13113" width="18.5703125" style="18" bestFit="1" customWidth="1"/>
    <col min="13114" max="13114" width="21.28515625" style="18" bestFit="1" customWidth="1"/>
    <col min="13115" max="13115" width="16.28515625" style="18" bestFit="1" customWidth="1"/>
    <col min="13116" max="13116" width="21.140625" style="18" bestFit="1" customWidth="1"/>
    <col min="13117" max="13117" width="19" style="18" bestFit="1" customWidth="1"/>
    <col min="13118" max="13118" width="19.140625" style="18" customWidth="1"/>
    <col min="13119" max="13119" width="16.7109375" style="18" customWidth="1"/>
    <col min="13120" max="13120" width="21.140625" style="18" bestFit="1" customWidth="1"/>
    <col min="13121" max="13121" width="20.42578125" style="18" bestFit="1" customWidth="1"/>
    <col min="13122" max="13122" width="21.140625" style="18" customWidth="1"/>
    <col min="13123" max="13123" width="20.5703125" style="18" bestFit="1" customWidth="1"/>
    <col min="13124" max="13124" width="19.7109375" style="18" bestFit="1" customWidth="1"/>
    <col min="13125" max="13125" width="20.28515625" style="18" customWidth="1"/>
    <col min="13126" max="13126" width="20.85546875" style="18" bestFit="1" customWidth="1"/>
    <col min="13127" max="13127" width="19.5703125" style="18" bestFit="1" customWidth="1"/>
    <col min="13128" max="13128" width="18" style="18" customWidth="1"/>
    <col min="13129" max="13129" width="20" style="18" bestFit="1" customWidth="1"/>
    <col min="13130" max="13130" width="35.7109375" style="18" customWidth="1"/>
    <col min="13131" max="13131" width="21.140625" style="18" bestFit="1" customWidth="1"/>
    <col min="13132" max="13132" width="20.5703125" style="18" bestFit="1" customWidth="1"/>
    <col min="13133" max="13133" width="19.42578125" style="18" bestFit="1" customWidth="1"/>
    <col min="13134" max="13134" width="18.5703125" style="18" bestFit="1" customWidth="1"/>
    <col min="13135" max="13135" width="20.5703125" style="18" bestFit="1" customWidth="1"/>
    <col min="13136" max="13136" width="21.28515625" style="18" bestFit="1" customWidth="1"/>
    <col min="13137" max="13137" width="15.42578125" style="18" customWidth="1"/>
    <col min="13138" max="13138" width="20.7109375" style="18" customWidth="1"/>
    <col min="13139" max="13139" width="21.28515625" style="18" customWidth="1"/>
    <col min="13140" max="13140" width="14.85546875" style="18" bestFit="1" customWidth="1"/>
    <col min="13141" max="13141" width="23" style="18" bestFit="1" customWidth="1"/>
    <col min="13142" max="13142" width="21.28515625" style="18" bestFit="1" customWidth="1"/>
    <col min="13143" max="13143" width="20.28515625" style="18" bestFit="1" customWidth="1"/>
    <col min="13144" max="13144" width="21" style="18" bestFit="1" customWidth="1"/>
    <col min="13145" max="13145" width="18.85546875" style="18" bestFit="1" customWidth="1"/>
    <col min="13146" max="13146" width="80.7109375" style="18" customWidth="1"/>
    <col min="13147" max="13334" width="9.140625" style="18"/>
    <col min="13335" max="13335" width="2.5703125" style="18" customWidth="1"/>
    <col min="13336" max="13336" width="17.85546875" style="18" customWidth="1"/>
    <col min="13337" max="13337" width="41.5703125" style="18" customWidth="1"/>
    <col min="13338" max="13339" width="12" style="18" customWidth="1"/>
    <col min="13340" max="13340" width="17" style="18" customWidth="1"/>
    <col min="13341" max="13341" width="9.7109375" style="18" customWidth="1"/>
    <col min="13342" max="13342" width="12.28515625" style="18" customWidth="1"/>
    <col min="13343" max="13343" width="13.7109375" style="18" customWidth="1"/>
    <col min="13344" max="13344" width="13.5703125" style="18" bestFit="1" customWidth="1"/>
    <col min="13345" max="13345" width="13.5703125" style="18" customWidth="1"/>
    <col min="13346" max="13346" width="21" style="18" customWidth="1"/>
    <col min="13347" max="13350" width="13.42578125" style="18" customWidth="1"/>
    <col min="13351" max="13352" width="19" style="18" customWidth="1"/>
    <col min="13353" max="13353" width="34" style="18" customWidth="1"/>
    <col min="13354" max="13354" width="19" style="18" customWidth="1"/>
    <col min="13355" max="13355" width="20" style="18" bestFit="1" customWidth="1"/>
    <col min="13356" max="13356" width="20.28515625" style="18" bestFit="1" customWidth="1"/>
    <col min="13357" max="13357" width="26.7109375" style="18" customWidth="1"/>
    <col min="13358" max="13358" width="20.85546875" style="18" bestFit="1" customWidth="1"/>
    <col min="13359" max="13359" width="20.85546875" style="18" customWidth="1"/>
    <col min="13360" max="13360" width="18.85546875" style="18" customWidth="1"/>
    <col min="13361" max="13361" width="17.5703125" style="18" customWidth="1"/>
    <col min="13362" max="13363" width="19.42578125" style="18" customWidth="1"/>
    <col min="13364" max="13364" width="20.7109375" style="18" bestFit="1" customWidth="1"/>
    <col min="13365" max="13365" width="80.7109375" style="18" customWidth="1"/>
    <col min="13366" max="13366" width="14.7109375" style="18" bestFit="1" customWidth="1"/>
    <col min="13367" max="13367" width="18.140625" style="18" bestFit="1" customWidth="1"/>
    <col min="13368" max="13368" width="16.7109375" style="18" bestFit="1" customWidth="1"/>
    <col min="13369" max="13369" width="18.5703125" style="18" bestFit="1" customWidth="1"/>
    <col min="13370" max="13370" width="21.28515625" style="18" bestFit="1" customWidth="1"/>
    <col min="13371" max="13371" width="16.28515625" style="18" bestFit="1" customWidth="1"/>
    <col min="13372" max="13372" width="21.140625" style="18" bestFit="1" customWidth="1"/>
    <col min="13373" max="13373" width="19" style="18" bestFit="1" customWidth="1"/>
    <col min="13374" max="13374" width="19.140625" style="18" customWidth="1"/>
    <col min="13375" max="13375" width="16.7109375" style="18" customWidth="1"/>
    <col min="13376" max="13376" width="21.140625" style="18" bestFit="1" customWidth="1"/>
    <col min="13377" max="13377" width="20.42578125" style="18" bestFit="1" customWidth="1"/>
    <col min="13378" max="13378" width="21.140625" style="18" customWidth="1"/>
    <col min="13379" max="13379" width="20.5703125" style="18" bestFit="1" customWidth="1"/>
    <col min="13380" max="13380" width="19.7109375" style="18" bestFit="1" customWidth="1"/>
    <col min="13381" max="13381" width="20.28515625" style="18" customWidth="1"/>
    <col min="13382" max="13382" width="20.85546875" style="18" bestFit="1" customWidth="1"/>
    <col min="13383" max="13383" width="19.5703125" style="18" bestFit="1" customWidth="1"/>
    <col min="13384" max="13384" width="18" style="18" customWidth="1"/>
    <col min="13385" max="13385" width="20" style="18" bestFit="1" customWidth="1"/>
    <col min="13386" max="13386" width="35.7109375" style="18" customWidth="1"/>
    <col min="13387" max="13387" width="21.140625" style="18" bestFit="1" customWidth="1"/>
    <col min="13388" max="13388" width="20.5703125" style="18" bestFit="1" customWidth="1"/>
    <col min="13389" max="13389" width="19.42578125" style="18" bestFit="1" customWidth="1"/>
    <col min="13390" max="13390" width="18.5703125" style="18" bestFit="1" customWidth="1"/>
    <col min="13391" max="13391" width="20.5703125" style="18" bestFit="1" customWidth="1"/>
    <col min="13392" max="13392" width="21.28515625" style="18" bestFit="1" customWidth="1"/>
    <col min="13393" max="13393" width="15.42578125" style="18" customWidth="1"/>
    <col min="13394" max="13394" width="20.7109375" style="18" customWidth="1"/>
    <col min="13395" max="13395" width="21.28515625" style="18" customWidth="1"/>
    <col min="13396" max="13396" width="14.85546875" style="18" bestFit="1" customWidth="1"/>
    <col min="13397" max="13397" width="23" style="18" bestFit="1" customWidth="1"/>
    <col min="13398" max="13398" width="21.28515625" style="18" bestFit="1" customWidth="1"/>
    <col min="13399" max="13399" width="20.28515625" style="18" bestFit="1" customWidth="1"/>
    <col min="13400" max="13400" width="21" style="18" bestFit="1" customWidth="1"/>
    <col min="13401" max="13401" width="18.85546875" style="18" bestFit="1" customWidth="1"/>
    <col min="13402" max="13402" width="80.7109375" style="18" customWidth="1"/>
    <col min="13403" max="13590" width="9.140625" style="18"/>
    <col min="13591" max="13591" width="2.5703125" style="18" customWidth="1"/>
    <col min="13592" max="13592" width="17.85546875" style="18" customWidth="1"/>
    <col min="13593" max="13593" width="41.5703125" style="18" customWidth="1"/>
    <col min="13594" max="13595" width="12" style="18" customWidth="1"/>
    <col min="13596" max="13596" width="17" style="18" customWidth="1"/>
    <col min="13597" max="13597" width="9.7109375" style="18" customWidth="1"/>
    <col min="13598" max="13598" width="12.28515625" style="18" customWidth="1"/>
    <col min="13599" max="13599" width="13.7109375" style="18" customWidth="1"/>
    <col min="13600" max="13600" width="13.5703125" style="18" bestFit="1" customWidth="1"/>
    <col min="13601" max="13601" width="13.5703125" style="18" customWidth="1"/>
    <col min="13602" max="13602" width="21" style="18" customWidth="1"/>
    <col min="13603" max="13606" width="13.42578125" style="18" customWidth="1"/>
    <col min="13607" max="13608" width="19" style="18" customWidth="1"/>
    <col min="13609" max="13609" width="34" style="18" customWidth="1"/>
    <col min="13610" max="13610" width="19" style="18" customWidth="1"/>
    <col min="13611" max="13611" width="20" style="18" bestFit="1" customWidth="1"/>
    <col min="13612" max="13612" width="20.28515625" style="18" bestFit="1" customWidth="1"/>
    <col min="13613" max="13613" width="26.7109375" style="18" customWidth="1"/>
    <col min="13614" max="13614" width="20.85546875" style="18" bestFit="1" customWidth="1"/>
    <col min="13615" max="13615" width="20.85546875" style="18" customWidth="1"/>
    <col min="13616" max="13616" width="18.85546875" style="18" customWidth="1"/>
    <col min="13617" max="13617" width="17.5703125" style="18" customWidth="1"/>
    <col min="13618" max="13619" width="19.42578125" style="18" customWidth="1"/>
    <col min="13620" max="13620" width="20.7109375" style="18" bestFit="1" customWidth="1"/>
    <col min="13621" max="13621" width="80.7109375" style="18" customWidth="1"/>
    <col min="13622" max="13622" width="14.7109375" style="18" bestFit="1" customWidth="1"/>
    <col min="13623" max="13623" width="18.140625" style="18" bestFit="1" customWidth="1"/>
    <col min="13624" max="13624" width="16.7109375" style="18" bestFit="1" customWidth="1"/>
    <col min="13625" max="13625" width="18.5703125" style="18" bestFit="1" customWidth="1"/>
    <col min="13626" max="13626" width="21.28515625" style="18" bestFit="1" customWidth="1"/>
    <col min="13627" max="13627" width="16.28515625" style="18" bestFit="1" customWidth="1"/>
    <col min="13628" max="13628" width="21.140625" style="18" bestFit="1" customWidth="1"/>
    <col min="13629" max="13629" width="19" style="18" bestFit="1" customWidth="1"/>
    <col min="13630" max="13630" width="19.140625" style="18" customWidth="1"/>
    <col min="13631" max="13631" width="16.7109375" style="18" customWidth="1"/>
    <col min="13632" max="13632" width="21.140625" style="18" bestFit="1" customWidth="1"/>
    <col min="13633" max="13633" width="20.42578125" style="18" bestFit="1" customWidth="1"/>
    <col min="13634" max="13634" width="21.140625" style="18" customWidth="1"/>
    <col min="13635" max="13635" width="20.5703125" style="18" bestFit="1" customWidth="1"/>
    <col min="13636" max="13636" width="19.7109375" style="18" bestFit="1" customWidth="1"/>
    <col min="13637" max="13637" width="20.28515625" style="18" customWidth="1"/>
    <col min="13638" max="13638" width="20.85546875" style="18" bestFit="1" customWidth="1"/>
    <col min="13639" max="13639" width="19.5703125" style="18" bestFit="1" customWidth="1"/>
    <col min="13640" max="13640" width="18" style="18" customWidth="1"/>
    <col min="13641" max="13641" width="20" style="18" bestFit="1" customWidth="1"/>
    <col min="13642" max="13642" width="35.7109375" style="18" customWidth="1"/>
    <col min="13643" max="13643" width="21.140625" style="18" bestFit="1" customWidth="1"/>
    <col min="13644" max="13644" width="20.5703125" style="18" bestFit="1" customWidth="1"/>
    <col min="13645" max="13645" width="19.42578125" style="18" bestFit="1" customWidth="1"/>
    <col min="13646" max="13646" width="18.5703125" style="18" bestFit="1" customWidth="1"/>
    <col min="13647" max="13647" width="20.5703125" style="18" bestFit="1" customWidth="1"/>
    <col min="13648" max="13648" width="21.28515625" style="18" bestFit="1" customWidth="1"/>
    <col min="13649" max="13649" width="15.42578125" style="18" customWidth="1"/>
    <col min="13650" max="13650" width="20.7109375" style="18" customWidth="1"/>
    <col min="13651" max="13651" width="21.28515625" style="18" customWidth="1"/>
    <col min="13652" max="13652" width="14.85546875" style="18" bestFit="1" customWidth="1"/>
    <col min="13653" max="13653" width="23" style="18" bestFit="1" customWidth="1"/>
    <col min="13654" max="13654" width="21.28515625" style="18" bestFit="1" customWidth="1"/>
    <col min="13655" max="13655" width="20.28515625" style="18" bestFit="1" customWidth="1"/>
    <col min="13656" max="13656" width="21" style="18" bestFit="1" customWidth="1"/>
    <col min="13657" max="13657" width="18.85546875" style="18" bestFit="1" customWidth="1"/>
    <col min="13658" max="13658" width="80.7109375" style="18" customWidth="1"/>
    <col min="13659" max="13846" width="9.140625" style="18"/>
    <col min="13847" max="13847" width="2.5703125" style="18" customWidth="1"/>
    <col min="13848" max="13848" width="17.85546875" style="18" customWidth="1"/>
    <col min="13849" max="13849" width="41.5703125" style="18" customWidth="1"/>
    <col min="13850" max="13851" width="12" style="18" customWidth="1"/>
    <col min="13852" max="13852" width="17" style="18" customWidth="1"/>
    <col min="13853" max="13853" width="9.7109375" style="18" customWidth="1"/>
    <col min="13854" max="13854" width="12.28515625" style="18" customWidth="1"/>
    <col min="13855" max="13855" width="13.7109375" style="18" customWidth="1"/>
    <col min="13856" max="13856" width="13.5703125" style="18" bestFit="1" customWidth="1"/>
    <col min="13857" max="13857" width="13.5703125" style="18" customWidth="1"/>
    <col min="13858" max="13858" width="21" style="18" customWidth="1"/>
    <col min="13859" max="13862" width="13.42578125" style="18" customWidth="1"/>
    <col min="13863" max="13864" width="19" style="18" customWidth="1"/>
    <col min="13865" max="13865" width="34" style="18" customWidth="1"/>
    <col min="13866" max="13866" width="19" style="18" customWidth="1"/>
    <col min="13867" max="13867" width="20" style="18" bestFit="1" customWidth="1"/>
    <col min="13868" max="13868" width="20.28515625" style="18" bestFit="1" customWidth="1"/>
    <col min="13869" max="13869" width="26.7109375" style="18" customWidth="1"/>
    <col min="13870" max="13870" width="20.85546875" style="18" bestFit="1" customWidth="1"/>
    <col min="13871" max="13871" width="20.85546875" style="18" customWidth="1"/>
    <col min="13872" max="13872" width="18.85546875" style="18" customWidth="1"/>
    <col min="13873" max="13873" width="17.5703125" style="18" customWidth="1"/>
    <col min="13874" max="13875" width="19.42578125" style="18" customWidth="1"/>
    <col min="13876" max="13876" width="20.7109375" style="18" bestFit="1" customWidth="1"/>
    <col min="13877" max="13877" width="80.7109375" style="18" customWidth="1"/>
    <col min="13878" max="13878" width="14.7109375" style="18" bestFit="1" customWidth="1"/>
    <col min="13879" max="13879" width="18.140625" style="18" bestFit="1" customWidth="1"/>
    <col min="13880" max="13880" width="16.7109375" style="18" bestFit="1" customWidth="1"/>
    <col min="13881" max="13881" width="18.5703125" style="18" bestFit="1" customWidth="1"/>
    <col min="13882" max="13882" width="21.28515625" style="18" bestFit="1" customWidth="1"/>
    <col min="13883" max="13883" width="16.28515625" style="18" bestFit="1" customWidth="1"/>
    <col min="13884" max="13884" width="21.140625" style="18" bestFit="1" customWidth="1"/>
    <col min="13885" max="13885" width="19" style="18" bestFit="1" customWidth="1"/>
    <col min="13886" max="13886" width="19.140625" style="18" customWidth="1"/>
    <col min="13887" max="13887" width="16.7109375" style="18" customWidth="1"/>
    <col min="13888" max="13888" width="21.140625" style="18" bestFit="1" customWidth="1"/>
    <col min="13889" max="13889" width="20.42578125" style="18" bestFit="1" customWidth="1"/>
    <col min="13890" max="13890" width="21.140625" style="18" customWidth="1"/>
    <col min="13891" max="13891" width="20.5703125" style="18" bestFit="1" customWidth="1"/>
    <col min="13892" max="13892" width="19.7109375" style="18" bestFit="1" customWidth="1"/>
    <col min="13893" max="13893" width="20.28515625" style="18" customWidth="1"/>
    <col min="13894" max="13894" width="20.85546875" style="18" bestFit="1" customWidth="1"/>
    <col min="13895" max="13895" width="19.5703125" style="18" bestFit="1" customWidth="1"/>
    <col min="13896" max="13896" width="18" style="18" customWidth="1"/>
    <col min="13897" max="13897" width="20" style="18" bestFit="1" customWidth="1"/>
    <col min="13898" max="13898" width="35.7109375" style="18" customWidth="1"/>
    <col min="13899" max="13899" width="21.140625" style="18" bestFit="1" customWidth="1"/>
    <col min="13900" max="13900" width="20.5703125" style="18" bestFit="1" customWidth="1"/>
    <col min="13901" max="13901" width="19.42578125" style="18" bestFit="1" customWidth="1"/>
    <col min="13902" max="13902" width="18.5703125" style="18" bestFit="1" customWidth="1"/>
    <col min="13903" max="13903" width="20.5703125" style="18" bestFit="1" customWidth="1"/>
    <col min="13904" max="13904" width="21.28515625" style="18" bestFit="1" customWidth="1"/>
    <col min="13905" max="13905" width="15.42578125" style="18" customWidth="1"/>
    <col min="13906" max="13906" width="20.7109375" style="18" customWidth="1"/>
    <col min="13907" max="13907" width="21.28515625" style="18" customWidth="1"/>
    <col min="13908" max="13908" width="14.85546875" style="18" bestFit="1" customWidth="1"/>
    <col min="13909" max="13909" width="23" style="18" bestFit="1" customWidth="1"/>
    <col min="13910" max="13910" width="21.28515625" style="18" bestFit="1" customWidth="1"/>
    <col min="13911" max="13911" width="20.28515625" style="18" bestFit="1" customWidth="1"/>
    <col min="13912" max="13912" width="21" style="18" bestFit="1" customWidth="1"/>
    <col min="13913" max="13913" width="18.85546875" style="18" bestFit="1" customWidth="1"/>
    <col min="13914" max="13914" width="80.7109375" style="18" customWidth="1"/>
    <col min="13915" max="14102" width="9.140625" style="18"/>
    <col min="14103" max="14103" width="2.5703125" style="18" customWidth="1"/>
    <col min="14104" max="14104" width="17.85546875" style="18" customWidth="1"/>
    <col min="14105" max="14105" width="41.5703125" style="18" customWidth="1"/>
    <col min="14106" max="14107" width="12" style="18" customWidth="1"/>
    <col min="14108" max="14108" width="17" style="18" customWidth="1"/>
    <col min="14109" max="14109" width="9.7109375" style="18" customWidth="1"/>
    <col min="14110" max="14110" width="12.28515625" style="18" customWidth="1"/>
    <col min="14111" max="14111" width="13.7109375" style="18" customWidth="1"/>
    <col min="14112" max="14112" width="13.5703125" style="18" bestFit="1" customWidth="1"/>
    <col min="14113" max="14113" width="13.5703125" style="18" customWidth="1"/>
    <col min="14114" max="14114" width="21" style="18" customWidth="1"/>
    <col min="14115" max="14118" width="13.42578125" style="18" customWidth="1"/>
    <col min="14119" max="14120" width="19" style="18" customWidth="1"/>
    <col min="14121" max="14121" width="34" style="18" customWidth="1"/>
    <col min="14122" max="14122" width="19" style="18" customWidth="1"/>
    <col min="14123" max="14123" width="20" style="18" bestFit="1" customWidth="1"/>
    <col min="14124" max="14124" width="20.28515625" style="18" bestFit="1" customWidth="1"/>
    <col min="14125" max="14125" width="26.7109375" style="18" customWidth="1"/>
    <col min="14126" max="14126" width="20.85546875" style="18" bestFit="1" customWidth="1"/>
    <col min="14127" max="14127" width="20.85546875" style="18" customWidth="1"/>
    <col min="14128" max="14128" width="18.85546875" style="18" customWidth="1"/>
    <col min="14129" max="14129" width="17.5703125" style="18" customWidth="1"/>
    <col min="14130" max="14131" width="19.42578125" style="18" customWidth="1"/>
    <col min="14132" max="14132" width="20.7109375" style="18" bestFit="1" customWidth="1"/>
    <col min="14133" max="14133" width="80.7109375" style="18" customWidth="1"/>
    <col min="14134" max="14134" width="14.7109375" style="18" bestFit="1" customWidth="1"/>
    <col min="14135" max="14135" width="18.140625" style="18" bestFit="1" customWidth="1"/>
    <col min="14136" max="14136" width="16.7109375" style="18" bestFit="1" customWidth="1"/>
    <col min="14137" max="14137" width="18.5703125" style="18" bestFit="1" customWidth="1"/>
    <col min="14138" max="14138" width="21.28515625" style="18" bestFit="1" customWidth="1"/>
    <col min="14139" max="14139" width="16.28515625" style="18" bestFit="1" customWidth="1"/>
    <col min="14140" max="14140" width="21.140625" style="18" bestFit="1" customWidth="1"/>
    <col min="14141" max="14141" width="19" style="18" bestFit="1" customWidth="1"/>
    <col min="14142" max="14142" width="19.140625" style="18" customWidth="1"/>
    <col min="14143" max="14143" width="16.7109375" style="18" customWidth="1"/>
    <col min="14144" max="14144" width="21.140625" style="18" bestFit="1" customWidth="1"/>
    <col min="14145" max="14145" width="20.42578125" style="18" bestFit="1" customWidth="1"/>
    <col min="14146" max="14146" width="21.140625" style="18" customWidth="1"/>
    <col min="14147" max="14147" width="20.5703125" style="18" bestFit="1" customWidth="1"/>
    <col min="14148" max="14148" width="19.7109375" style="18" bestFit="1" customWidth="1"/>
    <col min="14149" max="14149" width="20.28515625" style="18" customWidth="1"/>
    <col min="14150" max="14150" width="20.85546875" style="18" bestFit="1" customWidth="1"/>
    <col min="14151" max="14151" width="19.5703125" style="18" bestFit="1" customWidth="1"/>
    <col min="14152" max="14152" width="18" style="18" customWidth="1"/>
    <col min="14153" max="14153" width="20" style="18" bestFit="1" customWidth="1"/>
    <col min="14154" max="14154" width="35.7109375" style="18" customWidth="1"/>
    <col min="14155" max="14155" width="21.140625" style="18" bestFit="1" customWidth="1"/>
    <col min="14156" max="14156" width="20.5703125" style="18" bestFit="1" customWidth="1"/>
    <col min="14157" max="14157" width="19.42578125" style="18" bestFit="1" customWidth="1"/>
    <col min="14158" max="14158" width="18.5703125" style="18" bestFit="1" customWidth="1"/>
    <col min="14159" max="14159" width="20.5703125" style="18" bestFit="1" customWidth="1"/>
    <col min="14160" max="14160" width="21.28515625" style="18" bestFit="1" customWidth="1"/>
    <col min="14161" max="14161" width="15.42578125" style="18" customWidth="1"/>
    <col min="14162" max="14162" width="20.7109375" style="18" customWidth="1"/>
    <col min="14163" max="14163" width="21.28515625" style="18" customWidth="1"/>
    <col min="14164" max="14164" width="14.85546875" style="18" bestFit="1" customWidth="1"/>
    <col min="14165" max="14165" width="23" style="18" bestFit="1" customWidth="1"/>
    <col min="14166" max="14166" width="21.28515625" style="18" bestFit="1" customWidth="1"/>
    <col min="14167" max="14167" width="20.28515625" style="18" bestFit="1" customWidth="1"/>
    <col min="14168" max="14168" width="21" style="18" bestFit="1" customWidth="1"/>
    <col min="14169" max="14169" width="18.85546875" style="18" bestFit="1" customWidth="1"/>
    <col min="14170" max="14170" width="80.7109375" style="18" customWidth="1"/>
    <col min="14171" max="14358" width="9.140625" style="18"/>
    <col min="14359" max="14359" width="2.5703125" style="18" customWidth="1"/>
    <col min="14360" max="14360" width="17.85546875" style="18" customWidth="1"/>
    <col min="14361" max="14361" width="41.5703125" style="18" customWidth="1"/>
    <col min="14362" max="14363" width="12" style="18" customWidth="1"/>
    <col min="14364" max="14364" width="17" style="18" customWidth="1"/>
    <col min="14365" max="14365" width="9.7109375" style="18" customWidth="1"/>
    <col min="14366" max="14366" width="12.28515625" style="18" customWidth="1"/>
    <col min="14367" max="14367" width="13.7109375" style="18" customWidth="1"/>
    <col min="14368" max="14368" width="13.5703125" style="18" bestFit="1" customWidth="1"/>
    <col min="14369" max="14369" width="13.5703125" style="18" customWidth="1"/>
    <col min="14370" max="14370" width="21" style="18" customWidth="1"/>
    <col min="14371" max="14374" width="13.42578125" style="18" customWidth="1"/>
    <col min="14375" max="14376" width="19" style="18" customWidth="1"/>
    <col min="14377" max="14377" width="34" style="18" customWidth="1"/>
    <col min="14378" max="14378" width="19" style="18" customWidth="1"/>
    <col min="14379" max="14379" width="20" style="18" bestFit="1" customWidth="1"/>
    <col min="14380" max="14380" width="20.28515625" style="18" bestFit="1" customWidth="1"/>
    <col min="14381" max="14381" width="26.7109375" style="18" customWidth="1"/>
    <col min="14382" max="14382" width="20.85546875" style="18" bestFit="1" customWidth="1"/>
    <col min="14383" max="14383" width="20.85546875" style="18" customWidth="1"/>
    <col min="14384" max="14384" width="18.85546875" style="18" customWidth="1"/>
    <col min="14385" max="14385" width="17.5703125" style="18" customWidth="1"/>
    <col min="14386" max="14387" width="19.42578125" style="18" customWidth="1"/>
    <col min="14388" max="14388" width="20.7109375" style="18" bestFit="1" customWidth="1"/>
    <col min="14389" max="14389" width="80.7109375" style="18" customWidth="1"/>
    <col min="14390" max="14390" width="14.7109375" style="18" bestFit="1" customWidth="1"/>
    <col min="14391" max="14391" width="18.140625" style="18" bestFit="1" customWidth="1"/>
    <col min="14392" max="14392" width="16.7109375" style="18" bestFit="1" customWidth="1"/>
    <col min="14393" max="14393" width="18.5703125" style="18" bestFit="1" customWidth="1"/>
    <col min="14394" max="14394" width="21.28515625" style="18" bestFit="1" customWidth="1"/>
    <col min="14395" max="14395" width="16.28515625" style="18" bestFit="1" customWidth="1"/>
    <col min="14396" max="14396" width="21.140625" style="18" bestFit="1" customWidth="1"/>
    <col min="14397" max="14397" width="19" style="18" bestFit="1" customWidth="1"/>
    <col min="14398" max="14398" width="19.140625" style="18" customWidth="1"/>
    <col min="14399" max="14399" width="16.7109375" style="18" customWidth="1"/>
    <col min="14400" max="14400" width="21.140625" style="18" bestFit="1" customWidth="1"/>
    <col min="14401" max="14401" width="20.42578125" style="18" bestFit="1" customWidth="1"/>
    <col min="14402" max="14402" width="21.140625" style="18" customWidth="1"/>
    <col min="14403" max="14403" width="20.5703125" style="18" bestFit="1" customWidth="1"/>
    <col min="14404" max="14404" width="19.7109375" style="18" bestFit="1" customWidth="1"/>
    <col min="14405" max="14405" width="20.28515625" style="18" customWidth="1"/>
    <col min="14406" max="14406" width="20.85546875" style="18" bestFit="1" customWidth="1"/>
    <col min="14407" max="14407" width="19.5703125" style="18" bestFit="1" customWidth="1"/>
    <col min="14408" max="14408" width="18" style="18" customWidth="1"/>
    <col min="14409" max="14409" width="20" style="18" bestFit="1" customWidth="1"/>
    <col min="14410" max="14410" width="35.7109375" style="18" customWidth="1"/>
    <col min="14411" max="14411" width="21.140625" style="18" bestFit="1" customWidth="1"/>
    <col min="14412" max="14412" width="20.5703125" style="18" bestFit="1" customWidth="1"/>
    <col min="14413" max="14413" width="19.42578125" style="18" bestFit="1" customWidth="1"/>
    <col min="14414" max="14414" width="18.5703125" style="18" bestFit="1" customWidth="1"/>
    <col min="14415" max="14415" width="20.5703125" style="18" bestFit="1" customWidth="1"/>
    <col min="14416" max="14416" width="21.28515625" style="18" bestFit="1" customWidth="1"/>
    <col min="14417" max="14417" width="15.42578125" style="18" customWidth="1"/>
    <col min="14418" max="14418" width="20.7109375" style="18" customWidth="1"/>
    <col min="14419" max="14419" width="21.28515625" style="18" customWidth="1"/>
    <col min="14420" max="14420" width="14.85546875" style="18" bestFit="1" customWidth="1"/>
    <col min="14421" max="14421" width="23" style="18" bestFit="1" customWidth="1"/>
    <col min="14422" max="14422" width="21.28515625" style="18" bestFit="1" customWidth="1"/>
    <col min="14423" max="14423" width="20.28515625" style="18" bestFit="1" customWidth="1"/>
    <col min="14424" max="14424" width="21" style="18" bestFit="1" customWidth="1"/>
    <col min="14425" max="14425" width="18.85546875" style="18" bestFit="1" customWidth="1"/>
    <col min="14426" max="14426" width="80.7109375" style="18" customWidth="1"/>
    <col min="14427" max="14614" width="9.140625" style="18"/>
    <col min="14615" max="14615" width="2.5703125" style="18" customWidth="1"/>
    <col min="14616" max="14616" width="17.85546875" style="18" customWidth="1"/>
    <col min="14617" max="14617" width="41.5703125" style="18" customWidth="1"/>
    <col min="14618" max="14619" width="12" style="18" customWidth="1"/>
    <col min="14620" max="14620" width="17" style="18" customWidth="1"/>
    <col min="14621" max="14621" width="9.7109375" style="18" customWidth="1"/>
    <col min="14622" max="14622" width="12.28515625" style="18" customWidth="1"/>
    <col min="14623" max="14623" width="13.7109375" style="18" customWidth="1"/>
    <col min="14624" max="14624" width="13.5703125" style="18" bestFit="1" customWidth="1"/>
    <col min="14625" max="14625" width="13.5703125" style="18" customWidth="1"/>
    <col min="14626" max="14626" width="21" style="18" customWidth="1"/>
    <col min="14627" max="14630" width="13.42578125" style="18" customWidth="1"/>
    <col min="14631" max="14632" width="19" style="18" customWidth="1"/>
    <col min="14633" max="14633" width="34" style="18" customWidth="1"/>
    <col min="14634" max="14634" width="19" style="18" customWidth="1"/>
    <col min="14635" max="14635" width="20" style="18" bestFit="1" customWidth="1"/>
    <col min="14636" max="14636" width="20.28515625" style="18" bestFit="1" customWidth="1"/>
    <col min="14637" max="14637" width="26.7109375" style="18" customWidth="1"/>
    <col min="14638" max="14638" width="20.85546875" style="18" bestFit="1" customWidth="1"/>
    <col min="14639" max="14639" width="20.85546875" style="18" customWidth="1"/>
    <col min="14640" max="14640" width="18.85546875" style="18" customWidth="1"/>
    <col min="14641" max="14641" width="17.5703125" style="18" customWidth="1"/>
    <col min="14642" max="14643" width="19.42578125" style="18" customWidth="1"/>
    <col min="14644" max="14644" width="20.7109375" style="18" bestFit="1" customWidth="1"/>
    <col min="14645" max="14645" width="80.7109375" style="18" customWidth="1"/>
    <col min="14646" max="14646" width="14.7109375" style="18" bestFit="1" customWidth="1"/>
    <col min="14647" max="14647" width="18.140625" style="18" bestFit="1" customWidth="1"/>
    <col min="14648" max="14648" width="16.7109375" style="18" bestFit="1" customWidth="1"/>
    <col min="14649" max="14649" width="18.5703125" style="18" bestFit="1" customWidth="1"/>
    <col min="14650" max="14650" width="21.28515625" style="18" bestFit="1" customWidth="1"/>
    <col min="14651" max="14651" width="16.28515625" style="18" bestFit="1" customWidth="1"/>
    <col min="14652" max="14652" width="21.140625" style="18" bestFit="1" customWidth="1"/>
    <col min="14653" max="14653" width="19" style="18" bestFit="1" customWidth="1"/>
    <col min="14654" max="14654" width="19.140625" style="18" customWidth="1"/>
    <col min="14655" max="14655" width="16.7109375" style="18" customWidth="1"/>
    <col min="14656" max="14656" width="21.140625" style="18" bestFit="1" customWidth="1"/>
    <col min="14657" max="14657" width="20.42578125" style="18" bestFit="1" customWidth="1"/>
    <col min="14658" max="14658" width="21.140625" style="18" customWidth="1"/>
    <col min="14659" max="14659" width="20.5703125" style="18" bestFit="1" customWidth="1"/>
    <col min="14660" max="14660" width="19.7109375" style="18" bestFit="1" customWidth="1"/>
    <col min="14661" max="14661" width="20.28515625" style="18" customWidth="1"/>
    <col min="14662" max="14662" width="20.85546875" style="18" bestFit="1" customWidth="1"/>
    <col min="14663" max="14663" width="19.5703125" style="18" bestFit="1" customWidth="1"/>
    <col min="14664" max="14664" width="18" style="18" customWidth="1"/>
    <col min="14665" max="14665" width="20" style="18" bestFit="1" customWidth="1"/>
    <col min="14666" max="14666" width="35.7109375" style="18" customWidth="1"/>
    <col min="14667" max="14667" width="21.140625" style="18" bestFit="1" customWidth="1"/>
    <col min="14668" max="14668" width="20.5703125" style="18" bestFit="1" customWidth="1"/>
    <col min="14669" max="14669" width="19.42578125" style="18" bestFit="1" customWidth="1"/>
    <col min="14670" max="14670" width="18.5703125" style="18" bestFit="1" customWidth="1"/>
    <col min="14671" max="14671" width="20.5703125" style="18" bestFit="1" customWidth="1"/>
    <col min="14672" max="14672" width="21.28515625" style="18" bestFit="1" customWidth="1"/>
    <col min="14673" max="14673" width="15.42578125" style="18" customWidth="1"/>
    <col min="14674" max="14674" width="20.7109375" style="18" customWidth="1"/>
    <col min="14675" max="14675" width="21.28515625" style="18" customWidth="1"/>
    <col min="14676" max="14676" width="14.85546875" style="18" bestFit="1" customWidth="1"/>
    <col min="14677" max="14677" width="23" style="18" bestFit="1" customWidth="1"/>
    <col min="14678" max="14678" width="21.28515625" style="18" bestFit="1" customWidth="1"/>
    <col min="14679" max="14679" width="20.28515625" style="18" bestFit="1" customWidth="1"/>
    <col min="14680" max="14680" width="21" style="18" bestFit="1" customWidth="1"/>
    <col min="14681" max="14681" width="18.85546875" style="18" bestFit="1" customWidth="1"/>
    <col min="14682" max="14682" width="80.7109375" style="18" customWidth="1"/>
    <col min="14683" max="14870" width="9.140625" style="18"/>
    <col min="14871" max="14871" width="2.5703125" style="18" customWidth="1"/>
    <col min="14872" max="14872" width="17.85546875" style="18" customWidth="1"/>
    <col min="14873" max="14873" width="41.5703125" style="18" customWidth="1"/>
    <col min="14874" max="14875" width="12" style="18" customWidth="1"/>
    <col min="14876" max="14876" width="17" style="18" customWidth="1"/>
    <col min="14877" max="14877" width="9.7109375" style="18" customWidth="1"/>
    <col min="14878" max="14878" width="12.28515625" style="18" customWidth="1"/>
    <col min="14879" max="14879" width="13.7109375" style="18" customWidth="1"/>
    <col min="14880" max="14880" width="13.5703125" style="18" bestFit="1" customWidth="1"/>
    <col min="14881" max="14881" width="13.5703125" style="18" customWidth="1"/>
    <col min="14882" max="14882" width="21" style="18" customWidth="1"/>
    <col min="14883" max="14886" width="13.42578125" style="18" customWidth="1"/>
    <col min="14887" max="14888" width="19" style="18" customWidth="1"/>
    <col min="14889" max="14889" width="34" style="18" customWidth="1"/>
    <col min="14890" max="14890" width="19" style="18" customWidth="1"/>
    <col min="14891" max="14891" width="20" style="18" bestFit="1" customWidth="1"/>
    <col min="14892" max="14892" width="20.28515625" style="18" bestFit="1" customWidth="1"/>
    <col min="14893" max="14893" width="26.7109375" style="18" customWidth="1"/>
    <col min="14894" max="14894" width="20.85546875" style="18" bestFit="1" customWidth="1"/>
    <col min="14895" max="14895" width="20.85546875" style="18" customWidth="1"/>
    <col min="14896" max="14896" width="18.85546875" style="18" customWidth="1"/>
    <col min="14897" max="14897" width="17.5703125" style="18" customWidth="1"/>
    <col min="14898" max="14899" width="19.42578125" style="18" customWidth="1"/>
    <col min="14900" max="14900" width="20.7109375" style="18" bestFit="1" customWidth="1"/>
    <col min="14901" max="14901" width="80.7109375" style="18" customWidth="1"/>
    <col min="14902" max="14902" width="14.7109375" style="18" bestFit="1" customWidth="1"/>
    <col min="14903" max="14903" width="18.140625" style="18" bestFit="1" customWidth="1"/>
    <col min="14904" max="14904" width="16.7109375" style="18" bestFit="1" customWidth="1"/>
    <col min="14905" max="14905" width="18.5703125" style="18" bestFit="1" customWidth="1"/>
    <col min="14906" max="14906" width="21.28515625" style="18" bestFit="1" customWidth="1"/>
    <col min="14907" max="14907" width="16.28515625" style="18" bestFit="1" customWidth="1"/>
    <col min="14908" max="14908" width="21.140625" style="18" bestFit="1" customWidth="1"/>
    <col min="14909" max="14909" width="19" style="18" bestFit="1" customWidth="1"/>
    <col min="14910" max="14910" width="19.140625" style="18" customWidth="1"/>
    <col min="14911" max="14911" width="16.7109375" style="18" customWidth="1"/>
    <col min="14912" max="14912" width="21.140625" style="18" bestFit="1" customWidth="1"/>
    <col min="14913" max="14913" width="20.42578125" style="18" bestFit="1" customWidth="1"/>
    <col min="14914" max="14914" width="21.140625" style="18" customWidth="1"/>
    <col min="14915" max="14915" width="20.5703125" style="18" bestFit="1" customWidth="1"/>
    <col min="14916" max="14916" width="19.7109375" style="18" bestFit="1" customWidth="1"/>
    <col min="14917" max="14917" width="20.28515625" style="18" customWidth="1"/>
    <col min="14918" max="14918" width="20.85546875" style="18" bestFit="1" customWidth="1"/>
    <col min="14919" max="14919" width="19.5703125" style="18" bestFit="1" customWidth="1"/>
    <col min="14920" max="14920" width="18" style="18" customWidth="1"/>
    <col min="14921" max="14921" width="20" style="18" bestFit="1" customWidth="1"/>
    <col min="14922" max="14922" width="35.7109375" style="18" customWidth="1"/>
    <col min="14923" max="14923" width="21.140625" style="18" bestFit="1" customWidth="1"/>
    <col min="14924" max="14924" width="20.5703125" style="18" bestFit="1" customWidth="1"/>
    <col min="14925" max="14925" width="19.42578125" style="18" bestFit="1" customWidth="1"/>
    <col min="14926" max="14926" width="18.5703125" style="18" bestFit="1" customWidth="1"/>
    <col min="14927" max="14927" width="20.5703125" style="18" bestFit="1" customWidth="1"/>
    <col min="14928" max="14928" width="21.28515625" style="18" bestFit="1" customWidth="1"/>
    <col min="14929" max="14929" width="15.42578125" style="18" customWidth="1"/>
    <col min="14930" max="14930" width="20.7109375" style="18" customWidth="1"/>
    <col min="14931" max="14931" width="21.28515625" style="18" customWidth="1"/>
    <col min="14932" max="14932" width="14.85546875" style="18" bestFit="1" customWidth="1"/>
    <col min="14933" max="14933" width="23" style="18" bestFit="1" customWidth="1"/>
    <col min="14934" max="14934" width="21.28515625" style="18" bestFit="1" customWidth="1"/>
    <col min="14935" max="14935" width="20.28515625" style="18" bestFit="1" customWidth="1"/>
    <col min="14936" max="14936" width="21" style="18" bestFit="1" customWidth="1"/>
    <col min="14937" max="14937" width="18.85546875" style="18" bestFit="1" customWidth="1"/>
    <col min="14938" max="14938" width="80.7109375" style="18" customWidth="1"/>
    <col min="14939" max="15126" width="9.140625" style="18"/>
    <col min="15127" max="15127" width="2.5703125" style="18" customWidth="1"/>
    <col min="15128" max="15128" width="17.85546875" style="18" customWidth="1"/>
    <col min="15129" max="15129" width="41.5703125" style="18" customWidth="1"/>
    <col min="15130" max="15131" width="12" style="18" customWidth="1"/>
    <col min="15132" max="15132" width="17" style="18" customWidth="1"/>
    <col min="15133" max="15133" width="9.7109375" style="18" customWidth="1"/>
    <col min="15134" max="15134" width="12.28515625" style="18" customWidth="1"/>
    <col min="15135" max="15135" width="13.7109375" style="18" customWidth="1"/>
    <col min="15136" max="15136" width="13.5703125" style="18" bestFit="1" customWidth="1"/>
    <col min="15137" max="15137" width="13.5703125" style="18" customWidth="1"/>
    <col min="15138" max="15138" width="21" style="18" customWidth="1"/>
    <col min="15139" max="15142" width="13.42578125" style="18" customWidth="1"/>
    <col min="15143" max="15144" width="19" style="18" customWidth="1"/>
    <col min="15145" max="15145" width="34" style="18" customWidth="1"/>
    <col min="15146" max="15146" width="19" style="18" customWidth="1"/>
    <col min="15147" max="15147" width="20" style="18" bestFit="1" customWidth="1"/>
    <col min="15148" max="15148" width="20.28515625" style="18" bestFit="1" customWidth="1"/>
    <col min="15149" max="15149" width="26.7109375" style="18" customWidth="1"/>
    <col min="15150" max="15150" width="20.85546875" style="18" bestFit="1" customWidth="1"/>
    <col min="15151" max="15151" width="20.85546875" style="18" customWidth="1"/>
    <col min="15152" max="15152" width="18.85546875" style="18" customWidth="1"/>
    <col min="15153" max="15153" width="17.5703125" style="18" customWidth="1"/>
    <col min="15154" max="15155" width="19.42578125" style="18" customWidth="1"/>
    <col min="15156" max="15156" width="20.7109375" style="18" bestFit="1" customWidth="1"/>
    <col min="15157" max="15157" width="80.7109375" style="18" customWidth="1"/>
    <col min="15158" max="15158" width="14.7109375" style="18" bestFit="1" customWidth="1"/>
    <col min="15159" max="15159" width="18.140625" style="18" bestFit="1" customWidth="1"/>
    <col min="15160" max="15160" width="16.7109375" style="18" bestFit="1" customWidth="1"/>
    <col min="15161" max="15161" width="18.5703125" style="18" bestFit="1" customWidth="1"/>
    <col min="15162" max="15162" width="21.28515625" style="18" bestFit="1" customWidth="1"/>
    <col min="15163" max="15163" width="16.28515625" style="18" bestFit="1" customWidth="1"/>
    <col min="15164" max="15164" width="21.140625" style="18" bestFit="1" customWidth="1"/>
    <col min="15165" max="15165" width="19" style="18" bestFit="1" customWidth="1"/>
    <col min="15166" max="15166" width="19.140625" style="18" customWidth="1"/>
    <col min="15167" max="15167" width="16.7109375" style="18" customWidth="1"/>
    <col min="15168" max="15168" width="21.140625" style="18" bestFit="1" customWidth="1"/>
    <col min="15169" max="15169" width="20.42578125" style="18" bestFit="1" customWidth="1"/>
    <col min="15170" max="15170" width="21.140625" style="18" customWidth="1"/>
    <col min="15171" max="15171" width="20.5703125" style="18" bestFit="1" customWidth="1"/>
    <col min="15172" max="15172" width="19.7109375" style="18" bestFit="1" customWidth="1"/>
    <col min="15173" max="15173" width="20.28515625" style="18" customWidth="1"/>
    <col min="15174" max="15174" width="20.85546875" style="18" bestFit="1" customWidth="1"/>
    <col min="15175" max="15175" width="19.5703125" style="18" bestFit="1" customWidth="1"/>
    <col min="15176" max="15176" width="18" style="18" customWidth="1"/>
    <col min="15177" max="15177" width="20" style="18" bestFit="1" customWidth="1"/>
    <col min="15178" max="15178" width="35.7109375" style="18" customWidth="1"/>
    <col min="15179" max="15179" width="21.140625" style="18" bestFit="1" customWidth="1"/>
    <col min="15180" max="15180" width="20.5703125" style="18" bestFit="1" customWidth="1"/>
    <col min="15181" max="15181" width="19.42578125" style="18" bestFit="1" customWidth="1"/>
    <col min="15182" max="15182" width="18.5703125" style="18" bestFit="1" customWidth="1"/>
    <col min="15183" max="15183" width="20.5703125" style="18" bestFit="1" customWidth="1"/>
    <col min="15184" max="15184" width="21.28515625" style="18" bestFit="1" customWidth="1"/>
    <col min="15185" max="15185" width="15.42578125" style="18" customWidth="1"/>
    <col min="15186" max="15186" width="20.7109375" style="18" customWidth="1"/>
    <col min="15187" max="15187" width="21.28515625" style="18" customWidth="1"/>
    <col min="15188" max="15188" width="14.85546875" style="18" bestFit="1" customWidth="1"/>
    <col min="15189" max="15189" width="23" style="18" bestFit="1" customWidth="1"/>
    <col min="15190" max="15190" width="21.28515625" style="18" bestFit="1" customWidth="1"/>
    <col min="15191" max="15191" width="20.28515625" style="18" bestFit="1" customWidth="1"/>
    <col min="15192" max="15192" width="21" style="18" bestFit="1" customWidth="1"/>
    <col min="15193" max="15193" width="18.85546875" style="18" bestFit="1" customWidth="1"/>
    <col min="15194" max="15194" width="80.7109375" style="18" customWidth="1"/>
    <col min="15195" max="15382" width="9.140625" style="18"/>
    <col min="15383" max="15383" width="2.5703125" style="18" customWidth="1"/>
    <col min="15384" max="15384" width="17.85546875" style="18" customWidth="1"/>
    <col min="15385" max="15385" width="41.5703125" style="18" customWidth="1"/>
    <col min="15386" max="15387" width="12" style="18" customWidth="1"/>
    <col min="15388" max="15388" width="17" style="18" customWidth="1"/>
    <col min="15389" max="15389" width="9.7109375" style="18" customWidth="1"/>
    <col min="15390" max="15390" width="12.28515625" style="18" customWidth="1"/>
    <col min="15391" max="15391" width="13.7109375" style="18" customWidth="1"/>
    <col min="15392" max="15392" width="13.5703125" style="18" bestFit="1" customWidth="1"/>
    <col min="15393" max="15393" width="13.5703125" style="18" customWidth="1"/>
    <col min="15394" max="15394" width="21" style="18" customWidth="1"/>
    <col min="15395" max="15398" width="13.42578125" style="18" customWidth="1"/>
    <col min="15399" max="15400" width="19" style="18" customWidth="1"/>
    <col min="15401" max="15401" width="34" style="18" customWidth="1"/>
    <col min="15402" max="15402" width="19" style="18" customWidth="1"/>
    <col min="15403" max="15403" width="20" style="18" bestFit="1" customWidth="1"/>
    <col min="15404" max="15404" width="20.28515625" style="18" bestFit="1" customWidth="1"/>
    <col min="15405" max="15405" width="26.7109375" style="18" customWidth="1"/>
    <col min="15406" max="15406" width="20.85546875" style="18" bestFit="1" customWidth="1"/>
    <col min="15407" max="15407" width="20.85546875" style="18" customWidth="1"/>
    <col min="15408" max="15408" width="18.85546875" style="18" customWidth="1"/>
    <col min="15409" max="15409" width="17.5703125" style="18" customWidth="1"/>
    <col min="15410" max="15411" width="19.42578125" style="18" customWidth="1"/>
    <col min="15412" max="15412" width="20.7109375" style="18" bestFit="1" customWidth="1"/>
    <col min="15413" max="15413" width="80.7109375" style="18" customWidth="1"/>
    <col min="15414" max="15414" width="14.7109375" style="18" bestFit="1" customWidth="1"/>
    <col min="15415" max="15415" width="18.140625" style="18" bestFit="1" customWidth="1"/>
    <col min="15416" max="15416" width="16.7109375" style="18" bestFit="1" customWidth="1"/>
    <col min="15417" max="15417" width="18.5703125" style="18" bestFit="1" customWidth="1"/>
    <col min="15418" max="15418" width="21.28515625" style="18" bestFit="1" customWidth="1"/>
    <col min="15419" max="15419" width="16.28515625" style="18" bestFit="1" customWidth="1"/>
    <col min="15420" max="15420" width="21.140625" style="18" bestFit="1" customWidth="1"/>
    <col min="15421" max="15421" width="19" style="18" bestFit="1" customWidth="1"/>
    <col min="15422" max="15422" width="19.140625" style="18" customWidth="1"/>
    <col min="15423" max="15423" width="16.7109375" style="18" customWidth="1"/>
    <col min="15424" max="15424" width="21.140625" style="18" bestFit="1" customWidth="1"/>
    <col min="15425" max="15425" width="20.42578125" style="18" bestFit="1" customWidth="1"/>
    <col min="15426" max="15426" width="21.140625" style="18" customWidth="1"/>
    <col min="15427" max="15427" width="20.5703125" style="18" bestFit="1" customWidth="1"/>
    <col min="15428" max="15428" width="19.7109375" style="18" bestFit="1" customWidth="1"/>
    <col min="15429" max="15429" width="20.28515625" style="18" customWidth="1"/>
    <col min="15430" max="15430" width="20.85546875" style="18" bestFit="1" customWidth="1"/>
    <col min="15431" max="15431" width="19.5703125" style="18" bestFit="1" customWidth="1"/>
    <col min="15432" max="15432" width="18" style="18" customWidth="1"/>
    <col min="15433" max="15433" width="20" style="18" bestFit="1" customWidth="1"/>
    <col min="15434" max="15434" width="35.7109375" style="18" customWidth="1"/>
    <col min="15435" max="15435" width="21.140625" style="18" bestFit="1" customWidth="1"/>
    <col min="15436" max="15436" width="20.5703125" style="18" bestFit="1" customWidth="1"/>
    <col min="15437" max="15437" width="19.42578125" style="18" bestFit="1" customWidth="1"/>
    <col min="15438" max="15438" width="18.5703125" style="18" bestFit="1" customWidth="1"/>
    <col min="15439" max="15439" width="20.5703125" style="18" bestFit="1" customWidth="1"/>
    <col min="15440" max="15440" width="21.28515625" style="18" bestFit="1" customWidth="1"/>
    <col min="15441" max="15441" width="15.42578125" style="18" customWidth="1"/>
    <col min="15442" max="15442" width="20.7109375" style="18" customWidth="1"/>
    <col min="15443" max="15443" width="21.28515625" style="18" customWidth="1"/>
    <col min="15444" max="15444" width="14.85546875" style="18" bestFit="1" customWidth="1"/>
    <col min="15445" max="15445" width="23" style="18" bestFit="1" customWidth="1"/>
    <col min="15446" max="15446" width="21.28515625" style="18" bestFit="1" customWidth="1"/>
    <col min="15447" max="15447" width="20.28515625" style="18" bestFit="1" customWidth="1"/>
    <col min="15448" max="15448" width="21" style="18" bestFit="1" customWidth="1"/>
    <col min="15449" max="15449" width="18.85546875" style="18" bestFit="1" customWidth="1"/>
    <col min="15450" max="15450" width="80.7109375" style="18" customWidth="1"/>
    <col min="15451" max="15638" width="9.140625" style="18"/>
    <col min="15639" max="15639" width="2.5703125" style="18" customWidth="1"/>
    <col min="15640" max="15640" width="17.85546875" style="18" customWidth="1"/>
    <col min="15641" max="15641" width="41.5703125" style="18" customWidth="1"/>
    <col min="15642" max="15643" width="12" style="18" customWidth="1"/>
    <col min="15644" max="15644" width="17" style="18" customWidth="1"/>
    <col min="15645" max="15645" width="9.7109375" style="18" customWidth="1"/>
    <col min="15646" max="15646" width="12.28515625" style="18" customWidth="1"/>
    <col min="15647" max="15647" width="13.7109375" style="18" customWidth="1"/>
    <col min="15648" max="15648" width="13.5703125" style="18" bestFit="1" customWidth="1"/>
    <col min="15649" max="15649" width="13.5703125" style="18" customWidth="1"/>
    <col min="15650" max="15650" width="21" style="18" customWidth="1"/>
    <col min="15651" max="15654" width="13.42578125" style="18" customWidth="1"/>
    <col min="15655" max="15656" width="19" style="18" customWidth="1"/>
    <col min="15657" max="15657" width="34" style="18" customWidth="1"/>
    <col min="15658" max="15658" width="19" style="18" customWidth="1"/>
    <col min="15659" max="15659" width="20" style="18" bestFit="1" customWidth="1"/>
    <col min="15660" max="15660" width="20.28515625" style="18" bestFit="1" customWidth="1"/>
    <col min="15661" max="15661" width="26.7109375" style="18" customWidth="1"/>
    <col min="15662" max="15662" width="20.85546875" style="18" bestFit="1" customWidth="1"/>
    <col min="15663" max="15663" width="20.85546875" style="18" customWidth="1"/>
    <col min="15664" max="15664" width="18.85546875" style="18" customWidth="1"/>
    <col min="15665" max="15665" width="17.5703125" style="18" customWidth="1"/>
    <col min="15666" max="15667" width="19.42578125" style="18" customWidth="1"/>
    <col min="15668" max="15668" width="20.7109375" style="18" bestFit="1" customWidth="1"/>
    <col min="15669" max="15669" width="80.7109375" style="18" customWidth="1"/>
    <col min="15670" max="15670" width="14.7109375" style="18" bestFit="1" customWidth="1"/>
    <col min="15671" max="15671" width="18.140625" style="18" bestFit="1" customWidth="1"/>
    <col min="15672" max="15672" width="16.7109375" style="18" bestFit="1" customWidth="1"/>
    <col min="15673" max="15673" width="18.5703125" style="18" bestFit="1" customWidth="1"/>
    <col min="15674" max="15674" width="21.28515625" style="18" bestFit="1" customWidth="1"/>
    <col min="15675" max="15675" width="16.28515625" style="18" bestFit="1" customWidth="1"/>
    <col min="15676" max="15676" width="21.140625" style="18" bestFit="1" customWidth="1"/>
    <col min="15677" max="15677" width="19" style="18" bestFit="1" customWidth="1"/>
    <col min="15678" max="15678" width="19.140625" style="18" customWidth="1"/>
    <col min="15679" max="15679" width="16.7109375" style="18" customWidth="1"/>
    <col min="15680" max="15680" width="21.140625" style="18" bestFit="1" customWidth="1"/>
    <col min="15681" max="15681" width="20.42578125" style="18" bestFit="1" customWidth="1"/>
    <col min="15682" max="15682" width="21.140625" style="18" customWidth="1"/>
    <col min="15683" max="15683" width="20.5703125" style="18" bestFit="1" customWidth="1"/>
    <col min="15684" max="15684" width="19.7109375" style="18" bestFit="1" customWidth="1"/>
    <col min="15685" max="15685" width="20.28515625" style="18" customWidth="1"/>
    <col min="15686" max="15686" width="20.85546875" style="18" bestFit="1" customWidth="1"/>
    <col min="15687" max="15687" width="19.5703125" style="18" bestFit="1" customWidth="1"/>
    <col min="15688" max="15688" width="18" style="18" customWidth="1"/>
    <col min="15689" max="15689" width="20" style="18" bestFit="1" customWidth="1"/>
    <col min="15690" max="15690" width="35.7109375" style="18" customWidth="1"/>
    <col min="15691" max="15691" width="21.140625" style="18" bestFit="1" customWidth="1"/>
    <col min="15692" max="15692" width="20.5703125" style="18" bestFit="1" customWidth="1"/>
    <col min="15693" max="15693" width="19.42578125" style="18" bestFit="1" customWidth="1"/>
    <col min="15694" max="15694" width="18.5703125" style="18" bestFit="1" customWidth="1"/>
    <col min="15695" max="15695" width="20.5703125" style="18" bestFit="1" customWidth="1"/>
    <col min="15696" max="15696" width="21.28515625" style="18" bestFit="1" customWidth="1"/>
    <col min="15697" max="15697" width="15.42578125" style="18" customWidth="1"/>
    <col min="15698" max="15698" width="20.7109375" style="18" customWidth="1"/>
    <col min="15699" max="15699" width="21.28515625" style="18" customWidth="1"/>
    <col min="15700" max="15700" width="14.85546875" style="18" bestFit="1" customWidth="1"/>
    <col min="15701" max="15701" width="23" style="18" bestFit="1" customWidth="1"/>
    <col min="15702" max="15702" width="21.28515625" style="18" bestFit="1" customWidth="1"/>
    <col min="15703" max="15703" width="20.28515625" style="18" bestFit="1" customWidth="1"/>
    <col min="15704" max="15704" width="21" style="18" bestFit="1" customWidth="1"/>
    <col min="15705" max="15705" width="18.85546875" style="18" bestFit="1" customWidth="1"/>
    <col min="15706" max="15706" width="80.7109375" style="18" customWidth="1"/>
    <col min="15707" max="15894" width="9.140625" style="18"/>
    <col min="15895" max="15895" width="2.5703125" style="18" customWidth="1"/>
    <col min="15896" max="15896" width="17.85546875" style="18" customWidth="1"/>
    <col min="15897" max="15897" width="41.5703125" style="18" customWidth="1"/>
    <col min="15898" max="15899" width="12" style="18" customWidth="1"/>
    <col min="15900" max="15900" width="17" style="18" customWidth="1"/>
    <col min="15901" max="15901" width="9.7109375" style="18" customWidth="1"/>
    <col min="15902" max="15902" width="12.28515625" style="18" customWidth="1"/>
    <col min="15903" max="15903" width="13.7109375" style="18" customWidth="1"/>
    <col min="15904" max="15904" width="13.5703125" style="18" bestFit="1" customWidth="1"/>
    <col min="15905" max="15905" width="13.5703125" style="18" customWidth="1"/>
    <col min="15906" max="15906" width="21" style="18" customWidth="1"/>
    <col min="15907" max="15910" width="13.42578125" style="18" customWidth="1"/>
    <col min="15911" max="15912" width="19" style="18" customWidth="1"/>
    <col min="15913" max="15913" width="34" style="18" customWidth="1"/>
    <col min="15914" max="15914" width="19" style="18" customWidth="1"/>
    <col min="15915" max="15915" width="20" style="18" bestFit="1" customWidth="1"/>
    <col min="15916" max="15916" width="20.28515625" style="18" bestFit="1" customWidth="1"/>
    <col min="15917" max="15917" width="26.7109375" style="18" customWidth="1"/>
    <col min="15918" max="15918" width="20.85546875" style="18" bestFit="1" customWidth="1"/>
    <col min="15919" max="15919" width="20.85546875" style="18" customWidth="1"/>
    <col min="15920" max="15920" width="18.85546875" style="18" customWidth="1"/>
    <col min="15921" max="15921" width="17.5703125" style="18" customWidth="1"/>
    <col min="15922" max="15923" width="19.42578125" style="18" customWidth="1"/>
    <col min="15924" max="15924" width="20.7109375" style="18" bestFit="1" customWidth="1"/>
    <col min="15925" max="15925" width="80.7109375" style="18" customWidth="1"/>
    <col min="15926" max="15926" width="14.7109375" style="18" bestFit="1" customWidth="1"/>
    <col min="15927" max="15927" width="18.140625" style="18" bestFit="1" customWidth="1"/>
    <col min="15928" max="15928" width="16.7109375" style="18" bestFit="1" customWidth="1"/>
    <col min="15929" max="15929" width="18.5703125" style="18" bestFit="1" customWidth="1"/>
    <col min="15930" max="15930" width="21.28515625" style="18" bestFit="1" customWidth="1"/>
    <col min="15931" max="15931" width="16.28515625" style="18" bestFit="1" customWidth="1"/>
    <col min="15932" max="15932" width="21.140625" style="18" bestFit="1" customWidth="1"/>
    <col min="15933" max="15933" width="19" style="18" bestFit="1" customWidth="1"/>
    <col min="15934" max="15934" width="19.140625" style="18" customWidth="1"/>
    <col min="15935" max="15935" width="16.7109375" style="18" customWidth="1"/>
    <col min="15936" max="15936" width="21.140625" style="18" bestFit="1" customWidth="1"/>
    <col min="15937" max="15937" width="20.42578125" style="18" bestFit="1" customWidth="1"/>
    <col min="15938" max="15938" width="21.140625" style="18" customWidth="1"/>
    <col min="15939" max="15939" width="20.5703125" style="18" bestFit="1" customWidth="1"/>
    <col min="15940" max="15940" width="19.7109375" style="18" bestFit="1" customWidth="1"/>
    <col min="15941" max="15941" width="20.28515625" style="18" customWidth="1"/>
    <col min="15942" max="15942" width="20.85546875" style="18" bestFit="1" customWidth="1"/>
    <col min="15943" max="15943" width="19.5703125" style="18" bestFit="1" customWidth="1"/>
    <col min="15944" max="15944" width="18" style="18" customWidth="1"/>
    <col min="15945" max="15945" width="20" style="18" bestFit="1" customWidth="1"/>
    <col min="15946" max="15946" width="35.7109375" style="18" customWidth="1"/>
    <col min="15947" max="15947" width="21.140625" style="18" bestFit="1" customWidth="1"/>
    <col min="15948" max="15948" width="20.5703125" style="18" bestFit="1" customWidth="1"/>
    <col min="15949" max="15949" width="19.42578125" style="18" bestFit="1" customWidth="1"/>
    <col min="15950" max="15950" width="18.5703125" style="18" bestFit="1" customWidth="1"/>
    <col min="15951" max="15951" width="20.5703125" style="18" bestFit="1" customWidth="1"/>
    <col min="15952" max="15952" width="21.28515625" style="18" bestFit="1" customWidth="1"/>
    <col min="15953" max="15953" width="15.42578125" style="18" customWidth="1"/>
    <col min="15954" max="15954" width="20.7109375" style="18" customWidth="1"/>
    <col min="15955" max="15955" width="21.28515625" style="18" customWidth="1"/>
    <col min="15956" max="15956" width="14.85546875" style="18" bestFit="1" customWidth="1"/>
    <col min="15957" max="15957" width="23" style="18" bestFit="1" customWidth="1"/>
    <col min="15958" max="15958" width="21.28515625" style="18" bestFit="1" customWidth="1"/>
    <col min="15959" max="15959" width="20.28515625" style="18" bestFit="1" customWidth="1"/>
    <col min="15960" max="15960" width="21" style="18" bestFit="1" customWidth="1"/>
    <col min="15961" max="15961" width="18.85546875" style="18" bestFit="1" customWidth="1"/>
    <col min="15962" max="15962" width="80.7109375" style="18" customWidth="1"/>
    <col min="15963" max="16150" width="9.140625" style="18"/>
    <col min="16151" max="16151" width="2.5703125" style="18" customWidth="1"/>
    <col min="16152" max="16152" width="17.85546875" style="18" customWidth="1"/>
    <col min="16153" max="16153" width="41.5703125" style="18" customWidth="1"/>
    <col min="16154" max="16155" width="12" style="18" customWidth="1"/>
    <col min="16156" max="16156" width="17" style="18" customWidth="1"/>
    <col min="16157" max="16157" width="9.7109375" style="18" customWidth="1"/>
    <col min="16158" max="16158" width="12.28515625" style="18" customWidth="1"/>
    <col min="16159" max="16159" width="13.7109375" style="18" customWidth="1"/>
    <col min="16160" max="16160" width="13.5703125" style="18" bestFit="1" customWidth="1"/>
    <col min="16161" max="16161" width="13.5703125" style="18" customWidth="1"/>
    <col min="16162" max="16162" width="21" style="18" customWidth="1"/>
    <col min="16163" max="16166" width="13.42578125" style="18" customWidth="1"/>
    <col min="16167" max="16168" width="19" style="18" customWidth="1"/>
    <col min="16169" max="16169" width="34" style="18" customWidth="1"/>
    <col min="16170" max="16170" width="19" style="18" customWidth="1"/>
    <col min="16171" max="16171" width="20" style="18" bestFit="1" customWidth="1"/>
    <col min="16172" max="16172" width="20.28515625" style="18" bestFit="1" customWidth="1"/>
    <col min="16173" max="16173" width="26.7109375" style="18" customWidth="1"/>
    <col min="16174" max="16174" width="20.85546875" style="18" bestFit="1" customWidth="1"/>
    <col min="16175" max="16175" width="20.85546875" style="18" customWidth="1"/>
    <col min="16176" max="16176" width="18.85546875" style="18" customWidth="1"/>
    <col min="16177" max="16177" width="17.5703125" style="18" customWidth="1"/>
    <col min="16178" max="16179" width="19.42578125" style="18" customWidth="1"/>
    <col min="16180" max="16180" width="20.7109375" style="18" bestFit="1" customWidth="1"/>
    <col min="16181" max="16181" width="80.7109375" style="18" customWidth="1"/>
    <col min="16182" max="16182" width="14.7109375" style="18" bestFit="1" customWidth="1"/>
    <col min="16183" max="16183" width="18.140625" style="18" bestFit="1" customWidth="1"/>
    <col min="16184" max="16184" width="16.7109375" style="18" bestFit="1" customWidth="1"/>
    <col min="16185" max="16185" width="18.5703125" style="18" bestFit="1" customWidth="1"/>
    <col min="16186" max="16186" width="21.28515625" style="18" bestFit="1" customWidth="1"/>
    <col min="16187" max="16187" width="16.28515625" style="18" bestFit="1" customWidth="1"/>
    <col min="16188" max="16188" width="21.140625" style="18" bestFit="1" customWidth="1"/>
    <col min="16189" max="16189" width="19" style="18" bestFit="1" customWidth="1"/>
    <col min="16190" max="16190" width="19.140625" style="18" customWidth="1"/>
    <col min="16191" max="16191" width="16.7109375" style="18" customWidth="1"/>
    <col min="16192" max="16192" width="21.140625" style="18" bestFit="1" customWidth="1"/>
    <col min="16193" max="16193" width="20.42578125" style="18" bestFit="1" customWidth="1"/>
    <col min="16194" max="16194" width="21.140625" style="18" customWidth="1"/>
    <col min="16195" max="16195" width="20.5703125" style="18" bestFit="1" customWidth="1"/>
    <col min="16196" max="16196" width="19.7109375" style="18" bestFit="1" customWidth="1"/>
    <col min="16197" max="16197" width="20.28515625" style="18" customWidth="1"/>
    <col min="16198" max="16198" width="20.85546875" style="18" bestFit="1" customWidth="1"/>
    <col min="16199" max="16199" width="19.5703125" style="18" bestFit="1" customWidth="1"/>
    <col min="16200" max="16200" width="18" style="18" customWidth="1"/>
    <col min="16201" max="16201" width="20" style="18" bestFit="1" customWidth="1"/>
    <col min="16202" max="16202" width="35.7109375" style="18" customWidth="1"/>
    <col min="16203" max="16203" width="21.140625" style="18" bestFit="1" customWidth="1"/>
    <col min="16204" max="16204" width="20.5703125" style="18" bestFit="1" customWidth="1"/>
    <col min="16205" max="16205" width="19.42578125" style="18" bestFit="1" customWidth="1"/>
    <col min="16206" max="16206" width="18.5703125" style="18" bestFit="1" customWidth="1"/>
    <col min="16207" max="16207" width="20.5703125" style="18" bestFit="1" customWidth="1"/>
    <col min="16208" max="16208" width="21.28515625" style="18" bestFit="1" customWidth="1"/>
    <col min="16209" max="16209" width="15.42578125" style="18" customWidth="1"/>
    <col min="16210" max="16210" width="20.7109375" style="18" customWidth="1"/>
    <col min="16211" max="16211" width="21.28515625" style="18" customWidth="1"/>
    <col min="16212" max="16212" width="14.85546875" style="18" bestFit="1" customWidth="1"/>
    <col min="16213" max="16213" width="23" style="18" bestFit="1" customWidth="1"/>
    <col min="16214" max="16214" width="21.28515625" style="18" bestFit="1" customWidth="1"/>
    <col min="16215" max="16215" width="20.28515625" style="18" bestFit="1" customWidth="1"/>
    <col min="16216" max="16216" width="21" style="18" bestFit="1" customWidth="1"/>
    <col min="16217" max="16217" width="18.85546875" style="18" bestFit="1" customWidth="1"/>
    <col min="16218" max="16218" width="80.7109375" style="18" customWidth="1"/>
    <col min="16219" max="16384" width="9.140625" style="18"/>
  </cols>
  <sheetData>
    <row r="1" spans="2:94" ht="38.450000000000003" customHeight="1" thickBot="1" x14ac:dyDescent="0.25"/>
    <row r="2" spans="2:94" s="24" customFormat="1" ht="33.6" customHeight="1" thickTop="1" thickBot="1" x14ac:dyDescent="0.3">
      <c r="B2" s="823" t="s">
        <v>25</v>
      </c>
      <c r="C2" s="824"/>
      <c r="D2" s="824"/>
      <c r="E2" s="20">
        <v>42429</v>
      </c>
      <c r="F2" s="917" t="s">
        <v>450</v>
      </c>
      <c r="G2" s="918"/>
      <c r="H2" s="918"/>
      <c r="I2" s="918"/>
      <c r="J2" s="918"/>
      <c r="K2" s="918"/>
      <c r="L2" s="919"/>
      <c r="M2" s="919"/>
      <c r="N2" s="919"/>
      <c r="O2" s="920"/>
      <c r="P2" s="21"/>
      <c r="Q2" s="651"/>
      <c r="R2" s="319"/>
      <c r="X2" s="932" t="s">
        <v>242</v>
      </c>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934"/>
      <c r="AW2" s="935" t="s">
        <v>692</v>
      </c>
      <c r="AX2" s="936"/>
      <c r="AY2" s="936"/>
      <c r="AZ2" s="936"/>
      <c r="BA2" s="936"/>
      <c r="BB2" s="936"/>
      <c r="BC2" s="936"/>
      <c r="BD2" s="936"/>
      <c r="BE2" s="936"/>
      <c r="BF2" s="936"/>
      <c r="BG2" s="936"/>
      <c r="BH2" s="936"/>
      <c r="BI2" s="936"/>
      <c r="BJ2" s="936"/>
      <c r="BK2" s="936"/>
      <c r="BL2" s="936"/>
      <c r="BM2" s="936"/>
      <c r="BN2" s="936"/>
      <c r="BO2" s="936"/>
      <c r="BP2" s="936"/>
      <c r="BQ2" s="936"/>
      <c r="BR2" s="936"/>
      <c r="BS2" s="936"/>
      <c r="BT2" s="936"/>
      <c r="BU2" s="936"/>
      <c r="BV2" s="936"/>
      <c r="BW2" s="936"/>
      <c r="BX2" s="937"/>
      <c r="BY2" s="267"/>
      <c r="BZ2" s="267"/>
      <c r="CA2" s="267"/>
      <c r="CB2" s="31"/>
      <c r="CC2" s="31"/>
      <c r="CD2" s="31"/>
      <c r="CE2" s="31"/>
      <c r="CF2" s="31"/>
      <c r="CG2" s="31"/>
      <c r="CH2" s="31"/>
      <c r="CI2" s="31"/>
      <c r="CJ2" s="31"/>
      <c r="CK2" s="267"/>
      <c r="CL2" s="31"/>
      <c r="CM2" s="31"/>
      <c r="CN2" s="31"/>
      <c r="CO2" s="31"/>
      <c r="CP2" s="327"/>
    </row>
    <row r="3" spans="2:94" s="24" customFormat="1" ht="28.15" customHeight="1" thickBot="1" x14ac:dyDescent="0.3">
      <c r="B3" s="825" t="s">
        <v>6</v>
      </c>
      <c r="C3" s="821"/>
      <c r="D3" s="821"/>
      <c r="E3" s="30">
        <f>COUNTA(Database!E5:E707)</f>
        <v>185</v>
      </c>
      <c r="F3" s="921"/>
      <c r="G3" s="922"/>
      <c r="H3" s="922"/>
      <c r="I3" s="923"/>
      <c r="J3" s="655"/>
      <c r="K3" s="655"/>
      <c r="L3" s="322">
        <f>SUM(Database!L5:L189)</f>
        <v>19809</v>
      </c>
      <c r="M3" s="322">
        <f>SUM(Database!M5:M189)</f>
        <v>96464</v>
      </c>
      <c r="N3" s="657">
        <f>SUM(N5:N189)</f>
        <v>85469</v>
      </c>
      <c r="O3" s="323">
        <f>SUM(Database!O5:O189)</f>
        <v>90723</v>
      </c>
      <c r="P3" s="22"/>
      <c r="Q3" s="22"/>
      <c r="R3" s="320"/>
      <c r="S3" s="924" t="s">
        <v>83</v>
      </c>
      <c r="T3" s="925"/>
      <c r="U3" s="925"/>
      <c r="V3" s="926"/>
      <c r="W3" s="360"/>
      <c r="X3" s="927" t="s">
        <v>85</v>
      </c>
      <c r="Y3" s="928"/>
      <c r="Z3" s="928"/>
      <c r="AA3" s="929"/>
      <c r="AB3" s="927" t="s">
        <v>86</v>
      </c>
      <c r="AC3" s="928"/>
      <c r="AD3" s="928"/>
      <c r="AE3" s="938" t="s">
        <v>240</v>
      </c>
      <c r="AF3" s="939"/>
      <c r="AG3" s="940"/>
      <c r="AH3" s="927" t="s">
        <v>10</v>
      </c>
      <c r="AI3" s="928"/>
      <c r="AJ3" s="928"/>
      <c r="AK3" s="928"/>
      <c r="AL3" s="928"/>
      <c r="AM3" s="928"/>
      <c r="AN3" s="928"/>
      <c r="AO3" s="928"/>
      <c r="AP3" s="928"/>
      <c r="AQ3" s="928"/>
      <c r="AR3" s="928"/>
      <c r="AS3" s="928"/>
      <c r="AT3" s="928"/>
      <c r="AU3" s="928"/>
      <c r="AV3" s="929"/>
      <c r="AW3" s="930" t="s">
        <v>13</v>
      </c>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329"/>
      <c r="BY3" s="913" t="s">
        <v>693</v>
      </c>
      <c r="BZ3" s="913"/>
      <c r="CA3" s="913"/>
      <c r="CB3" s="914"/>
      <c r="CC3" s="914"/>
      <c r="CD3" s="914"/>
      <c r="CE3" s="914"/>
      <c r="CF3" s="914"/>
      <c r="CG3" s="914"/>
      <c r="CH3" s="915"/>
      <c r="CI3" s="916" t="s">
        <v>99</v>
      </c>
      <c r="CJ3" s="914"/>
      <c r="CK3" s="915"/>
      <c r="CL3" s="916" t="s">
        <v>102</v>
      </c>
      <c r="CM3" s="914"/>
      <c r="CN3" s="914"/>
      <c r="CO3" s="914"/>
      <c r="CP3" s="330"/>
    </row>
    <row r="4" spans="2:94" s="19" customFormat="1" ht="117.75" customHeight="1" thickBot="1" x14ac:dyDescent="0.25">
      <c r="B4" s="723" t="s">
        <v>0</v>
      </c>
      <c r="C4" s="656" t="s">
        <v>475</v>
      </c>
      <c r="D4" s="656" t="s">
        <v>255</v>
      </c>
      <c r="E4" s="656" t="s">
        <v>1</v>
      </c>
      <c r="F4" s="656" t="s">
        <v>100</v>
      </c>
      <c r="G4" s="656" t="s">
        <v>101</v>
      </c>
      <c r="H4" s="724" t="s">
        <v>3</v>
      </c>
      <c r="I4" s="656" t="s">
        <v>4</v>
      </c>
      <c r="J4" s="656" t="s">
        <v>3</v>
      </c>
      <c r="K4" s="656" t="s">
        <v>798</v>
      </c>
      <c r="L4" s="656" t="s">
        <v>710</v>
      </c>
      <c r="M4" s="656" t="s">
        <v>8</v>
      </c>
      <c r="N4" s="656" t="s">
        <v>807</v>
      </c>
      <c r="O4" s="656" t="s">
        <v>9</v>
      </c>
      <c r="P4" s="656" t="s">
        <v>77</v>
      </c>
      <c r="Q4" s="656" t="s">
        <v>321</v>
      </c>
      <c r="R4" s="725" t="s">
        <v>17</v>
      </c>
      <c r="S4" s="723" t="s">
        <v>7</v>
      </c>
      <c r="T4" s="726" t="s">
        <v>635</v>
      </c>
      <c r="U4" s="656" t="s">
        <v>754</v>
      </c>
      <c r="V4" s="725" t="s">
        <v>251</v>
      </c>
      <c r="W4" s="361" t="s">
        <v>285</v>
      </c>
      <c r="X4" s="727" t="s">
        <v>228</v>
      </c>
      <c r="Y4" s="728" t="s">
        <v>229</v>
      </c>
      <c r="Z4" s="728" t="s">
        <v>815</v>
      </c>
      <c r="AA4" s="729" t="s">
        <v>84</v>
      </c>
      <c r="AB4" s="727" t="s">
        <v>294</v>
      </c>
      <c r="AC4" s="728" t="s">
        <v>97</v>
      </c>
      <c r="AD4" s="730" t="s">
        <v>243</v>
      </c>
      <c r="AE4" s="731" t="s">
        <v>244</v>
      </c>
      <c r="AF4" s="732" t="s">
        <v>620</v>
      </c>
      <c r="AG4" s="733" t="s">
        <v>808</v>
      </c>
      <c r="AH4" s="734" t="s">
        <v>87</v>
      </c>
      <c r="AI4" s="735" t="s">
        <v>300</v>
      </c>
      <c r="AJ4" s="736" t="s">
        <v>264</v>
      </c>
      <c r="AK4" s="735" t="s">
        <v>304</v>
      </c>
      <c r="AL4" s="736" t="s">
        <v>241</v>
      </c>
      <c r="AM4" s="726" t="s">
        <v>303</v>
      </c>
      <c r="AN4" s="736" t="s">
        <v>76</v>
      </c>
      <c r="AO4" s="736" t="s">
        <v>96</v>
      </c>
      <c r="AP4" s="726" t="s">
        <v>302</v>
      </c>
      <c r="AQ4" s="726" t="s">
        <v>444</v>
      </c>
      <c r="AR4" s="726" t="s">
        <v>445</v>
      </c>
      <c r="AS4" s="726" t="s">
        <v>446</v>
      </c>
      <c r="AT4" s="737" t="s">
        <v>272</v>
      </c>
      <c r="AU4" s="738" t="s">
        <v>301</v>
      </c>
      <c r="AV4" s="729" t="s">
        <v>15</v>
      </c>
      <c r="AW4" s="653" t="s">
        <v>98</v>
      </c>
      <c r="AX4" s="739" t="s">
        <v>245</v>
      </c>
      <c r="AY4" s="740" t="s">
        <v>810</v>
      </c>
      <c r="AZ4" s="740" t="s">
        <v>246</v>
      </c>
      <c r="BA4" s="740" t="s">
        <v>809</v>
      </c>
      <c r="BB4" s="742" t="s">
        <v>90</v>
      </c>
      <c r="BC4" s="742" t="s">
        <v>23</v>
      </c>
      <c r="BD4" s="726" t="s">
        <v>306</v>
      </c>
      <c r="BE4" s="742" t="s">
        <v>88</v>
      </c>
      <c r="BF4" s="726" t="s">
        <v>305</v>
      </c>
      <c r="BG4" s="742" t="s">
        <v>263</v>
      </c>
      <c r="BH4" s="726" t="s">
        <v>307</v>
      </c>
      <c r="BI4" s="742" t="s">
        <v>26</v>
      </c>
      <c r="BJ4" s="740" t="s">
        <v>270</v>
      </c>
      <c r="BK4" s="738" t="s">
        <v>308</v>
      </c>
      <c r="BL4" s="742" t="s">
        <v>24</v>
      </c>
      <c r="BM4" s="742" t="s">
        <v>654</v>
      </c>
      <c r="BN4" s="741" t="s">
        <v>772</v>
      </c>
      <c r="BO4" s="59" t="s">
        <v>22</v>
      </c>
      <c r="BP4" s="331" t="s">
        <v>309</v>
      </c>
      <c r="BQ4" s="59" t="s">
        <v>447</v>
      </c>
      <c r="BR4" s="59" t="s">
        <v>269</v>
      </c>
      <c r="BS4" s="331" t="s">
        <v>310</v>
      </c>
      <c r="BT4" s="743" t="s">
        <v>247</v>
      </c>
      <c r="BU4" s="742" t="s">
        <v>12</v>
      </c>
      <c r="BV4" s="742" t="s">
        <v>448</v>
      </c>
      <c r="BW4" s="741" t="s">
        <v>271</v>
      </c>
      <c r="BX4" s="59" t="s">
        <v>15</v>
      </c>
      <c r="BY4" s="744" t="s">
        <v>295</v>
      </c>
      <c r="BZ4" s="745" t="s">
        <v>816</v>
      </c>
      <c r="CA4" s="745" t="s">
        <v>817</v>
      </c>
      <c r="CB4" s="745" t="s">
        <v>298</v>
      </c>
      <c r="CC4" s="745" t="s">
        <v>296</v>
      </c>
      <c r="CD4" s="745" t="s">
        <v>297</v>
      </c>
      <c r="CE4" s="746" t="s">
        <v>5</v>
      </c>
      <c r="CF4" s="746" t="s">
        <v>91</v>
      </c>
      <c r="CG4" s="726" t="s">
        <v>235</v>
      </c>
      <c r="CH4" s="747" t="s">
        <v>14</v>
      </c>
      <c r="CI4" s="749" t="s">
        <v>15</v>
      </c>
      <c r="CJ4" s="748" t="s">
        <v>16</v>
      </c>
      <c r="CK4" s="331" t="s">
        <v>633</v>
      </c>
      <c r="CL4" s="749" t="s">
        <v>103</v>
      </c>
      <c r="CM4" s="750" t="s">
        <v>262</v>
      </c>
      <c r="CN4" s="750" t="s">
        <v>621</v>
      </c>
      <c r="CO4" s="746" t="s">
        <v>286</v>
      </c>
      <c r="CP4" s="747" t="s">
        <v>11</v>
      </c>
    </row>
    <row r="5" spans="2:94" ht="30.75" customHeight="1" x14ac:dyDescent="0.2">
      <c r="B5" s="785" t="s">
        <v>175</v>
      </c>
      <c r="C5" s="427" t="s">
        <v>500</v>
      </c>
      <c r="D5" s="427" t="s">
        <v>259</v>
      </c>
      <c r="E5" s="427" t="s">
        <v>625</v>
      </c>
      <c r="F5" s="427">
        <v>97.243579999999994</v>
      </c>
      <c r="G5" s="427">
        <v>24.260120000000001</v>
      </c>
      <c r="H5" s="427" t="s">
        <v>442</v>
      </c>
      <c r="I5" s="427" t="s">
        <v>213</v>
      </c>
      <c r="J5" s="427" t="s">
        <v>812</v>
      </c>
      <c r="K5" s="427" t="s">
        <v>800</v>
      </c>
      <c r="L5" s="720">
        <v>71</v>
      </c>
      <c r="M5" s="720">
        <v>383</v>
      </c>
      <c r="N5" s="428">
        <v>434</v>
      </c>
      <c r="O5" s="658">
        <v>383</v>
      </c>
      <c r="P5" s="794" t="str">
        <f t="shared" ref="P5:P36" si="0">IF(L5&gt;50,IF(L5&gt;250,IF(L5&gt;500,IF(L5&gt;1000,"5. Massive","4. Big"),"3. Large"),"2. Medium"),"1. Small")</f>
        <v>2. Medium</v>
      </c>
      <c r="Q5" s="795" t="s">
        <v>322</v>
      </c>
      <c r="R5" s="429" t="s">
        <v>230</v>
      </c>
      <c r="S5" s="791" t="s">
        <v>233</v>
      </c>
      <c r="T5" s="366" t="str">
        <f t="shared" ref="T5:T36" si="1">IF(S5="None","Not covered","Covered")</f>
        <v>Covered</v>
      </c>
      <c r="U5" s="435">
        <v>42521</v>
      </c>
      <c r="V5" s="781" t="s">
        <v>252</v>
      </c>
      <c r="W5" s="362" t="str">
        <f t="shared" ref="W5:W36" si="2">IF(V5="Not documented","Not documented","Documented")</f>
        <v>Documented</v>
      </c>
      <c r="X5" s="439">
        <v>0</v>
      </c>
      <c r="Y5" s="428">
        <v>0</v>
      </c>
      <c r="Z5" s="658" t="s">
        <v>19</v>
      </c>
      <c r="AA5" s="440" t="s">
        <v>19</v>
      </c>
      <c r="AB5" s="439">
        <v>0</v>
      </c>
      <c r="AC5" s="445">
        <v>0</v>
      </c>
      <c r="AD5" s="829">
        <v>25650</v>
      </c>
      <c r="AE5" s="642">
        <v>1</v>
      </c>
      <c r="AF5" s="465">
        <v>1</v>
      </c>
      <c r="AG5" s="643" t="s">
        <v>830</v>
      </c>
      <c r="AH5" s="367">
        <f t="shared" ref="AH5:AH36" si="3">IF((((X5/15)+((Y5/30)/15)+AB5*400+AC5*500+(AD5/15))/O5)&gt;1,1,(((X5/15)+((Y5/30)/15)+AB5*400+AC5*500+(AD5/15))/O5))</f>
        <v>1</v>
      </c>
      <c r="AI5" s="333">
        <f t="shared" ref="AI5:AI36" si="4">AH5*O5</f>
        <v>383</v>
      </c>
      <c r="AJ5" s="334">
        <f t="shared" ref="AJ5:AJ36" si="5">IF(((AB5*400+AC5*500+(AD5/15))/O5)&gt;1,1,(AB5*400+AC5*500+(AD5/15))/O5)</f>
        <v>1</v>
      </c>
      <c r="AK5" s="335">
        <f t="shared" ref="AK5:AK36" si="6">AJ5*O5</f>
        <v>383</v>
      </c>
      <c r="AL5" s="332">
        <f t="shared" ref="AL5:AL36" si="7">IF(AF5=0,AH5,IF(AF5&lt;AH5,AH5,AF5))</f>
        <v>1</v>
      </c>
      <c r="AM5" s="335">
        <f t="shared" ref="AM5:AM36" si="8">AL5*O5</f>
        <v>383</v>
      </c>
      <c r="AN5" s="336" t="str">
        <f t="shared" ref="AN5:AN36" si="9">IF(AH5&gt;0.15,IF(AH5&gt;0.3,IF(AH5&gt;0.45,IF(AH5&gt;0.6,IF(AH5&gt;0.8,"80-100%","60-80%"),"45-60%"),"30-45%"),"15-30%"),"0-10%")</f>
        <v>80-100%</v>
      </c>
      <c r="AO5" s="332">
        <f t="shared" ref="AO5:AO36" si="10">IF((AH5-AJ5)&lt; 0, 0, AH5-AJ5)</f>
        <v>0</v>
      </c>
      <c r="AP5" s="337">
        <f t="shared" ref="AP5:AP36" si="11">AO5*O5</f>
        <v>0</v>
      </c>
      <c r="AQ5" s="335">
        <f t="shared" ref="AQ5:AQ36" si="12">IF(O5/400-(AB5+AC5)&lt;0,0,O5/400-(AB5+AC5))</f>
        <v>0.95750000000000002</v>
      </c>
      <c r="AR5" s="335">
        <f t="shared" ref="AR5:AR36" si="13">AF5*L5</f>
        <v>71</v>
      </c>
      <c r="AS5" s="335">
        <f t="shared" ref="AS5:AS36" si="14">AE5*O5</f>
        <v>383</v>
      </c>
      <c r="AT5" s="456">
        <v>1</v>
      </c>
      <c r="AU5" s="457">
        <f t="shared" ref="AU5:AU36" si="15">AT5*O5</f>
        <v>383</v>
      </c>
      <c r="AV5" s="446" t="s">
        <v>779</v>
      </c>
      <c r="AW5" s="811">
        <v>0</v>
      </c>
      <c r="AX5" s="816">
        <v>4</v>
      </c>
      <c r="AY5" s="428"/>
      <c r="AZ5" s="428">
        <v>8</v>
      </c>
      <c r="BA5" s="428" t="s">
        <v>889</v>
      </c>
      <c r="BB5" s="440" t="s">
        <v>289</v>
      </c>
      <c r="BC5" s="809">
        <f t="shared" ref="BC5:BC36" si="16">IF((((AX5+AZ5)*20)/O5)&gt;1,1,(((AX5+AZ5)*20)/O5))</f>
        <v>0.62663185378590081</v>
      </c>
      <c r="BD5" s="335">
        <f t="shared" ref="BD5:BD36" si="17">BC5*O5</f>
        <v>240</v>
      </c>
      <c r="BE5" s="338">
        <f t="shared" ref="BE5:BE36" si="18">BC5-BG5</f>
        <v>0.20887728459530031</v>
      </c>
      <c r="BF5" s="335">
        <f t="shared" ref="BF5:BF36" si="19">BE5*O5</f>
        <v>80.000000000000014</v>
      </c>
      <c r="BG5" s="338">
        <f t="shared" ref="BG5:BG36" si="20">IF(((AZ5*20)/O5)&gt;1,1,((AZ5*20)/O5))</f>
        <v>0.4177545691906005</v>
      </c>
      <c r="BH5" s="335">
        <f t="shared" ref="BH5:BH36" si="21">BG5*O5</f>
        <v>160</v>
      </c>
      <c r="BI5" s="445">
        <v>0</v>
      </c>
      <c r="BJ5" s="465">
        <v>0.63</v>
      </c>
      <c r="BK5" s="339">
        <f t="shared" ref="BK5:BK36" si="22">BJ5*O5</f>
        <v>241.29</v>
      </c>
      <c r="BL5" s="340">
        <f t="shared" ref="BL5:BL36" si="23">IF((O5/20-AZ5+BI5)&lt;0,0,(O5/20-AZ5+BI5))</f>
        <v>11.149999999999999</v>
      </c>
      <c r="BM5" s="428">
        <v>2</v>
      </c>
      <c r="BN5" s="428" t="s">
        <v>291</v>
      </c>
      <c r="BO5" s="338">
        <f t="shared" ref="BO5:BO36" si="24">IF((BM5*100/O5)&gt;1,1,(BM5*100/O5))</f>
        <v>0.52219321148825071</v>
      </c>
      <c r="BP5" s="335">
        <f t="shared" ref="BP5:BP36" si="25">BO5*O5</f>
        <v>200.00000000000003</v>
      </c>
      <c r="BQ5" s="340">
        <f t="shared" ref="BQ5:BQ36" si="26">IF(M5/100-BM5&lt;0,0,M5/100-BM5)</f>
        <v>1.83</v>
      </c>
      <c r="BR5" s="465">
        <v>0.52</v>
      </c>
      <c r="BS5" s="335">
        <f t="shared" ref="BS5:BS36" si="27">BR5*O5</f>
        <v>199.16</v>
      </c>
      <c r="BT5" s="428">
        <v>4</v>
      </c>
      <c r="BU5" s="338">
        <f t="shared" ref="BU5:BU36" si="28">IF((BT5*100/O5)&gt;1,1,(BT5*100/O5))</f>
        <v>1</v>
      </c>
      <c r="BV5" s="340">
        <f t="shared" ref="BV5:BV36" si="29">IF(M5/100-BT5&lt;0,0,M5/100-BT5)</f>
        <v>0</v>
      </c>
      <c r="BW5" s="450">
        <v>1</v>
      </c>
      <c r="BX5" s="472"/>
      <c r="BY5" s="644">
        <v>42402</v>
      </c>
      <c r="BZ5" s="661" t="s">
        <v>823</v>
      </c>
      <c r="CA5" s="664">
        <v>0.45</v>
      </c>
      <c r="CB5" s="341">
        <f t="shared" ref="CB5:CB36" si="30">IF(BY5="","To be realised",IF(BY5="n/a","n/a",IF(BY5+365&lt;$E$2,"To be realised",BY5+365)))</f>
        <v>42767</v>
      </c>
      <c r="CC5" s="428">
        <v>153</v>
      </c>
      <c r="CD5" s="428">
        <v>9</v>
      </c>
      <c r="CE5" s="342">
        <f t="shared" ref="CE5:CE36" si="31">IF(CB5="n/a",0,IF(CB5="To be realised",L5,IF((L5-CC5)&lt;0,0,(L5-CC5))))</f>
        <v>0</v>
      </c>
      <c r="CF5" s="343">
        <f t="shared" ref="CF5:CF36" si="32">IF(CE5=0,1,(L5-CE5)/L5)</f>
        <v>1</v>
      </c>
      <c r="CG5" s="335">
        <f t="shared" ref="CG5:CG36" si="33">CF5*O5</f>
        <v>383</v>
      </c>
      <c r="CH5" s="369">
        <f t="shared" ref="CH5:CH36" si="34">IF(BY5="","Column BN to be completed", IF(BY5="n/a",0,IF(($E$2-BY5-30)/30-CD5&lt;0,0,ROUND((($E$2-BY5-30)/30-CD5),0))))</f>
        <v>0</v>
      </c>
      <c r="CI5" s="439"/>
      <c r="CJ5" s="450">
        <v>1</v>
      </c>
      <c r="CK5" s="371">
        <f t="shared" ref="CK5:CK36" si="35">CJ5*O5</f>
        <v>383</v>
      </c>
      <c r="CL5" s="439">
        <v>2</v>
      </c>
      <c r="CM5" s="344" t="str">
        <f t="shared" ref="CM5:CM36" si="36">IF(CL5=0,"No coverage",IF(O5/CL5&gt;1000,"Low coverage",IF(O5/CL5&gt;750,"Average coverage",IF(O5/CL5&gt;500,"Good coverage","Excellent coverage"))))</f>
        <v>Excellent coverage</v>
      </c>
      <c r="CN5" s="445">
        <v>0</v>
      </c>
      <c r="CO5" s="751" t="s">
        <v>65</v>
      </c>
      <c r="CP5" s="481"/>
    </row>
    <row r="6" spans="2:94" s="36" customFormat="1" ht="30.75" customHeight="1" x14ac:dyDescent="0.25">
      <c r="B6" s="438" t="s">
        <v>175</v>
      </c>
      <c r="C6" s="430" t="s">
        <v>500</v>
      </c>
      <c r="D6" s="430" t="s">
        <v>259</v>
      </c>
      <c r="E6" s="430" t="s">
        <v>273</v>
      </c>
      <c r="F6" s="430">
        <v>97.238829999999993</v>
      </c>
      <c r="G6" s="430">
        <v>24.260719999999999</v>
      </c>
      <c r="H6" s="430" t="s">
        <v>442</v>
      </c>
      <c r="I6" s="430" t="s">
        <v>213</v>
      </c>
      <c r="J6" s="430" t="s">
        <v>812</v>
      </c>
      <c r="K6" s="430" t="s">
        <v>800</v>
      </c>
      <c r="L6" s="722">
        <v>161</v>
      </c>
      <c r="M6" s="722">
        <v>784</v>
      </c>
      <c r="N6" s="639">
        <v>965</v>
      </c>
      <c r="O6" s="789">
        <v>784</v>
      </c>
      <c r="P6" s="796" t="str">
        <f t="shared" si="0"/>
        <v>2. Medium</v>
      </c>
      <c r="Q6" s="797" t="s">
        <v>322</v>
      </c>
      <c r="R6" s="434" t="s">
        <v>230</v>
      </c>
      <c r="S6" s="792" t="s">
        <v>233</v>
      </c>
      <c r="T6" s="365" t="str">
        <f t="shared" si="1"/>
        <v>Covered</v>
      </c>
      <c r="U6" s="782">
        <v>42521</v>
      </c>
      <c r="V6" s="783" t="s">
        <v>252</v>
      </c>
      <c r="W6" s="363" t="str">
        <f t="shared" si="2"/>
        <v>Documented</v>
      </c>
      <c r="X6" s="443">
        <v>0</v>
      </c>
      <c r="Y6" s="433">
        <v>0</v>
      </c>
      <c r="Z6" s="659" t="s">
        <v>19</v>
      </c>
      <c r="AA6" s="444" t="s">
        <v>19</v>
      </c>
      <c r="AB6" s="443">
        <v>2</v>
      </c>
      <c r="AC6" s="433">
        <v>5</v>
      </c>
      <c r="AD6" s="830">
        <v>54595</v>
      </c>
      <c r="AE6" s="452">
        <v>1</v>
      </c>
      <c r="AF6" s="461">
        <v>1</v>
      </c>
      <c r="AG6" s="453" t="s">
        <v>830</v>
      </c>
      <c r="AH6" s="368">
        <f t="shared" si="3"/>
        <v>1</v>
      </c>
      <c r="AI6" s="346">
        <f t="shared" si="4"/>
        <v>784</v>
      </c>
      <c r="AJ6" s="347">
        <f t="shared" si="5"/>
        <v>1</v>
      </c>
      <c r="AK6" s="348">
        <f t="shared" si="6"/>
        <v>784</v>
      </c>
      <c r="AL6" s="345">
        <f t="shared" si="7"/>
        <v>1</v>
      </c>
      <c r="AM6" s="348">
        <f t="shared" si="8"/>
        <v>784</v>
      </c>
      <c r="AN6" s="349" t="str">
        <f t="shared" si="9"/>
        <v>80-100%</v>
      </c>
      <c r="AO6" s="345">
        <f t="shared" si="10"/>
        <v>0</v>
      </c>
      <c r="AP6" s="350">
        <f t="shared" si="11"/>
        <v>0</v>
      </c>
      <c r="AQ6" s="348">
        <f t="shared" si="12"/>
        <v>0</v>
      </c>
      <c r="AR6" s="348">
        <f t="shared" si="13"/>
        <v>161</v>
      </c>
      <c r="AS6" s="348">
        <f t="shared" si="14"/>
        <v>784</v>
      </c>
      <c r="AT6" s="461">
        <v>1</v>
      </c>
      <c r="AU6" s="459">
        <f t="shared" si="15"/>
        <v>784</v>
      </c>
      <c r="AV6" s="453" t="s">
        <v>778</v>
      </c>
      <c r="AW6" s="812">
        <v>9</v>
      </c>
      <c r="AX6" s="443">
        <v>1</v>
      </c>
      <c r="AY6" s="433"/>
      <c r="AZ6" s="433">
        <v>30</v>
      </c>
      <c r="BA6" s="433" t="s">
        <v>888</v>
      </c>
      <c r="BB6" s="444" t="s">
        <v>289</v>
      </c>
      <c r="BC6" s="810">
        <f t="shared" si="16"/>
        <v>0.79081632653061229</v>
      </c>
      <c r="BD6" s="348">
        <f t="shared" si="17"/>
        <v>620</v>
      </c>
      <c r="BE6" s="351">
        <f t="shared" si="18"/>
        <v>2.5510204081632737E-2</v>
      </c>
      <c r="BF6" s="348">
        <f t="shared" si="19"/>
        <v>20.000000000000064</v>
      </c>
      <c r="BG6" s="351">
        <f t="shared" si="20"/>
        <v>0.76530612244897955</v>
      </c>
      <c r="BH6" s="348">
        <f t="shared" si="21"/>
        <v>600</v>
      </c>
      <c r="BI6" s="466">
        <v>0</v>
      </c>
      <c r="BJ6" s="461">
        <v>0.89</v>
      </c>
      <c r="BK6" s="352">
        <f t="shared" si="22"/>
        <v>697.76</v>
      </c>
      <c r="BL6" s="353">
        <f t="shared" si="23"/>
        <v>9.2000000000000028</v>
      </c>
      <c r="BM6" s="433">
        <v>3</v>
      </c>
      <c r="BN6" s="433" t="s">
        <v>291</v>
      </c>
      <c r="BO6" s="351">
        <f t="shared" si="24"/>
        <v>0.38265306122448978</v>
      </c>
      <c r="BP6" s="348">
        <f t="shared" si="25"/>
        <v>300</v>
      </c>
      <c r="BQ6" s="353">
        <f t="shared" si="26"/>
        <v>4.84</v>
      </c>
      <c r="BR6" s="467">
        <v>0.38</v>
      </c>
      <c r="BS6" s="348">
        <f t="shared" si="27"/>
        <v>297.92</v>
      </c>
      <c r="BT6" s="433">
        <v>8</v>
      </c>
      <c r="BU6" s="351">
        <f t="shared" si="28"/>
        <v>1</v>
      </c>
      <c r="BV6" s="353">
        <f t="shared" si="29"/>
        <v>0</v>
      </c>
      <c r="BW6" s="453">
        <v>1</v>
      </c>
      <c r="BX6" s="474" t="s">
        <v>933</v>
      </c>
      <c r="BY6" s="476">
        <v>42402</v>
      </c>
      <c r="BZ6" s="662" t="s">
        <v>823</v>
      </c>
      <c r="CA6" s="665">
        <v>0.45</v>
      </c>
      <c r="CB6" s="354">
        <f t="shared" si="30"/>
        <v>42767</v>
      </c>
      <c r="CC6" s="466">
        <v>47</v>
      </c>
      <c r="CD6" s="466">
        <v>9</v>
      </c>
      <c r="CE6" s="355">
        <f t="shared" si="31"/>
        <v>114</v>
      </c>
      <c r="CF6" s="356">
        <f t="shared" si="32"/>
        <v>0.29192546583850931</v>
      </c>
      <c r="CG6" s="348">
        <f t="shared" si="33"/>
        <v>228.86956521739131</v>
      </c>
      <c r="CH6" s="370">
        <f t="shared" si="34"/>
        <v>0</v>
      </c>
      <c r="CI6" s="478"/>
      <c r="CJ6" s="453">
        <v>1</v>
      </c>
      <c r="CK6" s="372">
        <f t="shared" si="35"/>
        <v>784</v>
      </c>
      <c r="CL6" s="478">
        <v>5</v>
      </c>
      <c r="CM6" s="357" t="str">
        <f t="shared" si="36"/>
        <v>Excellent coverage</v>
      </c>
      <c r="CN6" s="447">
        <v>0</v>
      </c>
      <c r="CO6" s="752" t="s">
        <v>65</v>
      </c>
      <c r="CP6" s="485"/>
    </row>
    <row r="7" spans="2:94" s="36" customFormat="1" ht="30.75" customHeight="1" x14ac:dyDescent="0.2">
      <c r="B7" s="438" t="s">
        <v>175</v>
      </c>
      <c r="C7" s="430" t="s">
        <v>501</v>
      </c>
      <c r="D7" s="430" t="s">
        <v>259</v>
      </c>
      <c r="E7" s="430" t="s">
        <v>176</v>
      </c>
      <c r="F7" s="430">
        <v>97.252650000000003</v>
      </c>
      <c r="G7" s="430">
        <v>24.260466999999998</v>
      </c>
      <c r="H7" s="430" t="s">
        <v>442</v>
      </c>
      <c r="I7" s="430" t="s">
        <v>213</v>
      </c>
      <c r="J7" s="430" t="s">
        <v>812</v>
      </c>
      <c r="K7" s="430" t="s">
        <v>800</v>
      </c>
      <c r="L7" s="721">
        <v>13</v>
      </c>
      <c r="M7" s="721">
        <v>59</v>
      </c>
      <c r="N7" s="431">
        <v>58</v>
      </c>
      <c r="O7" s="660">
        <v>58</v>
      </c>
      <c r="P7" s="796" t="str">
        <f t="shared" si="0"/>
        <v>1. Small</v>
      </c>
      <c r="Q7" s="797" t="s">
        <v>937</v>
      </c>
      <c r="R7" s="432" t="s">
        <v>234</v>
      </c>
      <c r="S7" s="793" t="s">
        <v>232</v>
      </c>
      <c r="T7" s="365" t="str">
        <f t="shared" si="1"/>
        <v>Covered</v>
      </c>
      <c r="U7" s="437">
        <v>42521</v>
      </c>
      <c r="V7" s="784" t="s">
        <v>252</v>
      </c>
      <c r="W7" s="363" t="str">
        <f t="shared" si="2"/>
        <v>Documented</v>
      </c>
      <c r="X7" s="441">
        <v>0</v>
      </c>
      <c r="Y7" s="431">
        <v>0</v>
      </c>
      <c r="Z7" s="660" t="s">
        <v>19</v>
      </c>
      <c r="AA7" s="442" t="s">
        <v>19</v>
      </c>
      <c r="AB7" s="441">
        <v>1</v>
      </c>
      <c r="AC7" s="447">
        <v>0</v>
      </c>
      <c r="AD7" s="831">
        <v>0</v>
      </c>
      <c r="AE7" s="454">
        <v>0</v>
      </c>
      <c r="AF7" s="463">
        <v>0</v>
      </c>
      <c r="AG7" s="455"/>
      <c r="AH7" s="368">
        <f t="shared" si="3"/>
        <v>1</v>
      </c>
      <c r="AI7" s="346">
        <f t="shared" si="4"/>
        <v>58</v>
      </c>
      <c r="AJ7" s="347">
        <f t="shared" si="5"/>
        <v>1</v>
      </c>
      <c r="AK7" s="348">
        <f t="shared" si="6"/>
        <v>58</v>
      </c>
      <c r="AL7" s="345">
        <f t="shared" si="7"/>
        <v>1</v>
      </c>
      <c r="AM7" s="348">
        <f t="shared" si="8"/>
        <v>58</v>
      </c>
      <c r="AN7" s="349" t="str">
        <f t="shared" si="9"/>
        <v>80-100%</v>
      </c>
      <c r="AO7" s="345">
        <f t="shared" si="10"/>
        <v>0</v>
      </c>
      <c r="AP7" s="350">
        <f t="shared" si="11"/>
        <v>0</v>
      </c>
      <c r="AQ7" s="348">
        <f t="shared" si="12"/>
        <v>0</v>
      </c>
      <c r="AR7" s="348">
        <f t="shared" si="13"/>
        <v>0</v>
      </c>
      <c r="AS7" s="348">
        <f t="shared" si="14"/>
        <v>0</v>
      </c>
      <c r="AT7" s="458">
        <v>1</v>
      </c>
      <c r="AU7" s="459">
        <f t="shared" si="15"/>
        <v>58</v>
      </c>
      <c r="AV7" s="448"/>
      <c r="AW7" s="813">
        <v>9</v>
      </c>
      <c r="AX7" s="449">
        <v>3</v>
      </c>
      <c r="AY7" s="431"/>
      <c r="AZ7" s="431">
        <v>0</v>
      </c>
      <c r="BA7" s="431" t="s">
        <v>889</v>
      </c>
      <c r="BB7" s="442" t="s">
        <v>89</v>
      </c>
      <c r="BC7" s="810">
        <f t="shared" si="16"/>
        <v>1</v>
      </c>
      <c r="BD7" s="348">
        <f t="shared" si="17"/>
        <v>58</v>
      </c>
      <c r="BE7" s="351">
        <f t="shared" si="18"/>
        <v>1</v>
      </c>
      <c r="BF7" s="348">
        <f t="shared" si="19"/>
        <v>58</v>
      </c>
      <c r="BG7" s="351">
        <f t="shared" si="20"/>
        <v>0</v>
      </c>
      <c r="BH7" s="348">
        <f t="shared" si="21"/>
        <v>0</v>
      </c>
      <c r="BI7" s="447">
        <v>0</v>
      </c>
      <c r="BJ7" s="463">
        <v>1</v>
      </c>
      <c r="BK7" s="352">
        <f t="shared" si="22"/>
        <v>58</v>
      </c>
      <c r="BL7" s="353">
        <f t="shared" si="23"/>
        <v>2.9</v>
      </c>
      <c r="BM7" s="431">
        <v>0</v>
      </c>
      <c r="BN7" s="431" t="s">
        <v>89</v>
      </c>
      <c r="BO7" s="351">
        <f t="shared" si="24"/>
        <v>0</v>
      </c>
      <c r="BP7" s="348">
        <f t="shared" si="25"/>
        <v>0</v>
      </c>
      <c r="BQ7" s="353">
        <f t="shared" si="26"/>
        <v>0.59</v>
      </c>
      <c r="BR7" s="463">
        <v>0</v>
      </c>
      <c r="BS7" s="348">
        <f t="shared" si="27"/>
        <v>0</v>
      </c>
      <c r="BT7" s="431">
        <v>1</v>
      </c>
      <c r="BU7" s="351">
        <f t="shared" si="28"/>
        <v>1</v>
      </c>
      <c r="BV7" s="353">
        <f t="shared" si="29"/>
        <v>0</v>
      </c>
      <c r="BW7" s="451">
        <v>1</v>
      </c>
      <c r="BX7" s="473" t="s">
        <v>786</v>
      </c>
      <c r="BY7" s="475">
        <v>41771</v>
      </c>
      <c r="BZ7" s="663" t="s">
        <v>821</v>
      </c>
      <c r="CA7" s="666">
        <v>0</v>
      </c>
      <c r="CB7" s="354" t="str">
        <f t="shared" si="30"/>
        <v>To be realised</v>
      </c>
      <c r="CC7" s="447">
        <v>13</v>
      </c>
      <c r="CD7" s="447">
        <v>10</v>
      </c>
      <c r="CE7" s="355">
        <f t="shared" si="31"/>
        <v>13</v>
      </c>
      <c r="CF7" s="356">
        <f t="shared" si="32"/>
        <v>0</v>
      </c>
      <c r="CG7" s="348">
        <f t="shared" si="33"/>
        <v>0</v>
      </c>
      <c r="CH7" s="370">
        <f t="shared" si="34"/>
        <v>11</v>
      </c>
      <c r="CI7" s="441"/>
      <c r="CJ7" s="451">
        <v>0</v>
      </c>
      <c r="CK7" s="372">
        <f t="shared" si="35"/>
        <v>0</v>
      </c>
      <c r="CL7" s="441">
        <v>0</v>
      </c>
      <c r="CM7" s="357" t="str">
        <f t="shared" si="36"/>
        <v>No coverage</v>
      </c>
      <c r="CN7" s="447">
        <v>0</v>
      </c>
      <c r="CO7" s="753" t="s">
        <v>65</v>
      </c>
      <c r="CP7" s="482"/>
    </row>
    <row r="8" spans="2:94" s="36" customFormat="1" ht="30.75" customHeight="1" x14ac:dyDescent="0.25">
      <c r="B8" s="438" t="s">
        <v>175</v>
      </c>
      <c r="C8" s="430" t="s">
        <v>683</v>
      </c>
      <c r="D8" s="430" t="s">
        <v>259</v>
      </c>
      <c r="E8" s="430" t="s">
        <v>708</v>
      </c>
      <c r="F8" s="430">
        <v>97.228769999999997</v>
      </c>
      <c r="G8" s="430">
        <v>24.26502</v>
      </c>
      <c r="H8" s="430" t="s">
        <v>453</v>
      </c>
      <c r="I8" s="430" t="s">
        <v>213</v>
      </c>
      <c r="J8" s="430" t="s">
        <v>812</v>
      </c>
      <c r="K8" s="430" t="s">
        <v>801</v>
      </c>
      <c r="L8" s="722">
        <v>211</v>
      </c>
      <c r="M8" s="722">
        <v>989</v>
      </c>
      <c r="N8" s="639">
        <v>965</v>
      </c>
      <c r="O8" s="789">
        <v>965</v>
      </c>
      <c r="P8" s="796" t="str">
        <f t="shared" si="0"/>
        <v>2. Medium</v>
      </c>
      <c r="Q8" s="797"/>
      <c r="R8" s="434"/>
      <c r="S8" s="792" t="s">
        <v>299</v>
      </c>
      <c r="T8" s="365" t="str">
        <f t="shared" si="1"/>
        <v>Not covered</v>
      </c>
      <c r="U8" s="437" t="s">
        <v>619</v>
      </c>
      <c r="V8" s="783" t="s">
        <v>254</v>
      </c>
      <c r="W8" s="363" t="str">
        <f t="shared" si="2"/>
        <v>Not documented</v>
      </c>
      <c r="X8" s="443">
        <v>0</v>
      </c>
      <c r="Y8" s="433">
        <v>0</v>
      </c>
      <c r="Z8" s="659" t="s">
        <v>19</v>
      </c>
      <c r="AA8" s="444" t="s">
        <v>19</v>
      </c>
      <c r="AB8" s="443">
        <v>40</v>
      </c>
      <c r="AC8" s="433">
        <v>105</v>
      </c>
      <c r="AD8" s="832">
        <v>0</v>
      </c>
      <c r="AE8" s="452">
        <v>0</v>
      </c>
      <c r="AF8" s="461">
        <v>0</v>
      </c>
      <c r="AG8" s="453"/>
      <c r="AH8" s="368">
        <f t="shared" si="3"/>
        <v>1</v>
      </c>
      <c r="AI8" s="346">
        <f t="shared" si="4"/>
        <v>965</v>
      </c>
      <c r="AJ8" s="347">
        <f t="shared" si="5"/>
        <v>1</v>
      </c>
      <c r="AK8" s="348">
        <f t="shared" si="6"/>
        <v>965</v>
      </c>
      <c r="AL8" s="345">
        <f t="shared" si="7"/>
        <v>1</v>
      </c>
      <c r="AM8" s="348">
        <f t="shared" si="8"/>
        <v>965</v>
      </c>
      <c r="AN8" s="349" t="str">
        <f t="shared" si="9"/>
        <v>80-100%</v>
      </c>
      <c r="AO8" s="345">
        <f t="shared" si="10"/>
        <v>0</v>
      </c>
      <c r="AP8" s="350">
        <f t="shared" si="11"/>
        <v>0</v>
      </c>
      <c r="AQ8" s="348">
        <f t="shared" si="12"/>
        <v>0</v>
      </c>
      <c r="AR8" s="348">
        <f t="shared" si="13"/>
        <v>0</v>
      </c>
      <c r="AS8" s="348">
        <f t="shared" si="14"/>
        <v>0</v>
      </c>
      <c r="AT8" s="461">
        <v>1</v>
      </c>
      <c r="AU8" s="459">
        <f t="shared" si="15"/>
        <v>965</v>
      </c>
      <c r="AV8" s="453"/>
      <c r="AW8" s="812">
        <v>0</v>
      </c>
      <c r="AX8" s="443">
        <v>100</v>
      </c>
      <c r="AY8" s="433"/>
      <c r="AZ8" s="433">
        <v>12</v>
      </c>
      <c r="BA8" s="433" t="s">
        <v>888</v>
      </c>
      <c r="BB8" s="444" t="s">
        <v>291</v>
      </c>
      <c r="BC8" s="810">
        <f t="shared" si="16"/>
        <v>1</v>
      </c>
      <c r="BD8" s="348">
        <f t="shared" si="17"/>
        <v>965</v>
      </c>
      <c r="BE8" s="351">
        <f t="shared" si="18"/>
        <v>0.75129533678756477</v>
      </c>
      <c r="BF8" s="348">
        <f t="shared" si="19"/>
        <v>725</v>
      </c>
      <c r="BG8" s="351">
        <f t="shared" si="20"/>
        <v>0.24870466321243523</v>
      </c>
      <c r="BH8" s="348">
        <f t="shared" si="21"/>
        <v>240</v>
      </c>
      <c r="BI8" s="466">
        <v>0</v>
      </c>
      <c r="BJ8" s="461">
        <v>1</v>
      </c>
      <c r="BK8" s="352">
        <f t="shared" si="22"/>
        <v>965</v>
      </c>
      <c r="BL8" s="353">
        <f t="shared" si="23"/>
        <v>36.25</v>
      </c>
      <c r="BM8" s="433">
        <v>163</v>
      </c>
      <c r="BN8" s="433" t="s">
        <v>89</v>
      </c>
      <c r="BO8" s="351">
        <f t="shared" si="24"/>
        <v>1</v>
      </c>
      <c r="BP8" s="348">
        <f t="shared" si="25"/>
        <v>965</v>
      </c>
      <c r="BQ8" s="353">
        <f t="shared" si="26"/>
        <v>0</v>
      </c>
      <c r="BR8" s="467">
        <v>1</v>
      </c>
      <c r="BS8" s="348">
        <f t="shared" si="27"/>
        <v>965</v>
      </c>
      <c r="BT8" s="433">
        <v>0</v>
      </c>
      <c r="BU8" s="351">
        <f t="shared" si="28"/>
        <v>0</v>
      </c>
      <c r="BV8" s="353">
        <f t="shared" si="29"/>
        <v>9.89</v>
      </c>
      <c r="BW8" s="453">
        <v>0</v>
      </c>
      <c r="BX8" s="474"/>
      <c r="BY8" s="476">
        <v>42173</v>
      </c>
      <c r="BZ8" s="662" t="s">
        <v>824</v>
      </c>
      <c r="CA8" s="665">
        <v>0.55000000000000004</v>
      </c>
      <c r="CB8" s="354">
        <f t="shared" si="30"/>
        <v>42538</v>
      </c>
      <c r="CC8" s="466">
        <v>118</v>
      </c>
      <c r="CD8" s="466">
        <v>0</v>
      </c>
      <c r="CE8" s="355">
        <f t="shared" si="31"/>
        <v>93</v>
      </c>
      <c r="CF8" s="356">
        <f t="shared" si="32"/>
        <v>0.55924170616113744</v>
      </c>
      <c r="CG8" s="348">
        <f t="shared" si="33"/>
        <v>539.66824644549763</v>
      </c>
      <c r="CH8" s="370">
        <f t="shared" si="34"/>
        <v>8</v>
      </c>
      <c r="CI8" s="478"/>
      <c r="CJ8" s="453">
        <v>0</v>
      </c>
      <c r="CK8" s="372">
        <f t="shared" si="35"/>
        <v>0</v>
      </c>
      <c r="CL8" s="478">
        <v>4</v>
      </c>
      <c r="CM8" s="357" t="str">
        <f t="shared" si="36"/>
        <v>Excellent coverage</v>
      </c>
      <c r="CN8" s="447">
        <v>0</v>
      </c>
      <c r="CO8" s="752" t="s">
        <v>66</v>
      </c>
      <c r="CP8" s="485"/>
    </row>
    <row r="9" spans="2:94" s="36" customFormat="1" ht="30.75" customHeight="1" x14ac:dyDescent="0.2">
      <c r="B9" s="438" t="s">
        <v>175</v>
      </c>
      <c r="C9" s="430" t="s">
        <v>502</v>
      </c>
      <c r="D9" s="430" t="s">
        <v>259</v>
      </c>
      <c r="E9" s="430" t="s">
        <v>274</v>
      </c>
      <c r="F9" s="430">
        <v>97.236919999999998</v>
      </c>
      <c r="G9" s="430">
        <v>24.24766</v>
      </c>
      <c r="H9" s="430" t="s">
        <v>442</v>
      </c>
      <c r="I9" s="430" t="s">
        <v>213</v>
      </c>
      <c r="J9" s="430" t="s">
        <v>812</v>
      </c>
      <c r="K9" s="430" t="s">
        <v>800</v>
      </c>
      <c r="L9" s="721">
        <v>44</v>
      </c>
      <c r="M9" s="721">
        <v>235</v>
      </c>
      <c r="N9" s="431">
        <v>241</v>
      </c>
      <c r="O9" s="660">
        <v>241</v>
      </c>
      <c r="P9" s="796" t="str">
        <f t="shared" si="0"/>
        <v>1. Small</v>
      </c>
      <c r="Q9" s="797" t="s">
        <v>937</v>
      </c>
      <c r="R9" s="432" t="s">
        <v>234</v>
      </c>
      <c r="S9" s="793" t="s">
        <v>232</v>
      </c>
      <c r="T9" s="365" t="str">
        <f t="shared" si="1"/>
        <v>Covered</v>
      </c>
      <c r="U9" s="437">
        <v>42521</v>
      </c>
      <c r="V9" s="784" t="s">
        <v>252</v>
      </c>
      <c r="W9" s="363" t="str">
        <f t="shared" si="2"/>
        <v>Documented</v>
      </c>
      <c r="X9" s="441">
        <v>0</v>
      </c>
      <c r="Y9" s="431">
        <v>0</v>
      </c>
      <c r="Z9" s="660" t="s">
        <v>19</v>
      </c>
      <c r="AA9" s="442" t="s">
        <v>19</v>
      </c>
      <c r="AB9" s="441">
        <v>1</v>
      </c>
      <c r="AC9" s="447">
        <v>0</v>
      </c>
      <c r="AD9" s="831">
        <v>14400</v>
      </c>
      <c r="AE9" s="454">
        <v>0</v>
      </c>
      <c r="AF9" s="463">
        <v>0</v>
      </c>
      <c r="AG9" s="455"/>
      <c r="AH9" s="368">
        <f t="shared" si="3"/>
        <v>1</v>
      </c>
      <c r="AI9" s="346">
        <f t="shared" si="4"/>
        <v>241</v>
      </c>
      <c r="AJ9" s="347">
        <f t="shared" si="5"/>
        <v>1</v>
      </c>
      <c r="AK9" s="348">
        <f t="shared" si="6"/>
        <v>241</v>
      </c>
      <c r="AL9" s="345">
        <f t="shared" si="7"/>
        <v>1</v>
      </c>
      <c r="AM9" s="348">
        <f t="shared" si="8"/>
        <v>241</v>
      </c>
      <c r="AN9" s="349" t="str">
        <f t="shared" si="9"/>
        <v>80-100%</v>
      </c>
      <c r="AO9" s="345">
        <f t="shared" si="10"/>
        <v>0</v>
      </c>
      <c r="AP9" s="350">
        <f t="shared" si="11"/>
        <v>0</v>
      </c>
      <c r="AQ9" s="348">
        <f t="shared" si="12"/>
        <v>0</v>
      </c>
      <c r="AR9" s="348">
        <f t="shared" si="13"/>
        <v>0</v>
      </c>
      <c r="AS9" s="348">
        <f t="shared" si="14"/>
        <v>0</v>
      </c>
      <c r="AT9" s="458">
        <v>1</v>
      </c>
      <c r="AU9" s="459">
        <f t="shared" si="15"/>
        <v>241</v>
      </c>
      <c r="AV9" s="448"/>
      <c r="AW9" s="813">
        <v>285</v>
      </c>
      <c r="AX9" s="449">
        <v>0</v>
      </c>
      <c r="AY9" s="431"/>
      <c r="AZ9" s="431">
        <v>6</v>
      </c>
      <c r="BA9" s="431" t="s">
        <v>889</v>
      </c>
      <c r="BB9" s="442" t="s">
        <v>289</v>
      </c>
      <c r="BC9" s="810">
        <f t="shared" si="16"/>
        <v>0.49792531120331951</v>
      </c>
      <c r="BD9" s="348">
        <f t="shared" si="17"/>
        <v>120</v>
      </c>
      <c r="BE9" s="351">
        <f t="shared" si="18"/>
        <v>0</v>
      </c>
      <c r="BF9" s="348">
        <f t="shared" si="19"/>
        <v>0</v>
      </c>
      <c r="BG9" s="351">
        <f t="shared" si="20"/>
        <v>0.49792531120331951</v>
      </c>
      <c r="BH9" s="348">
        <f t="shared" si="21"/>
        <v>120</v>
      </c>
      <c r="BI9" s="447">
        <v>0</v>
      </c>
      <c r="BJ9" s="463">
        <v>0.5</v>
      </c>
      <c r="BK9" s="352">
        <f t="shared" si="22"/>
        <v>120.5</v>
      </c>
      <c r="BL9" s="353">
        <f t="shared" si="23"/>
        <v>6.0500000000000007</v>
      </c>
      <c r="BM9" s="431">
        <v>2</v>
      </c>
      <c r="BN9" s="431" t="s">
        <v>291</v>
      </c>
      <c r="BO9" s="351">
        <f t="shared" si="24"/>
        <v>0.82987551867219922</v>
      </c>
      <c r="BP9" s="348">
        <f t="shared" si="25"/>
        <v>200</v>
      </c>
      <c r="BQ9" s="353">
        <f t="shared" si="26"/>
        <v>0.35000000000000009</v>
      </c>
      <c r="BR9" s="463">
        <v>0.83</v>
      </c>
      <c r="BS9" s="348">
        <f t="shared" si="27"/>
        <v>200.03</v>
      </c>
      <c r="BT9" s="431">
        <v>2</v>
      </c>
      <c r="BU9" s="351">
        <f t="shared" si="28"/>
        <v>0.82987551867219922</v>
      </c>
      <c r="BV9" s="353">
        <f t="shared" si="29"/>
        <v>0.35000000000000009</v>
      </c>
      <c r="BW9" s="451">
        <v>0.83</v>
      </c>
      <c r="BX9" s="473"/>
      <c r="BY9" s="475">
        <v>41828</v>
      </c>
      <c r="BZ9" s="663" t="s">
        <v>821</v>
      </c>
      <c r="CA9" s="666">
        <v>0</v>
      </c>
      <c r="CB9" s="354" t="str">
        <f t="shared" si="30"/>
        <v>To be realised</v>
      </c>
      <c r="CC9" s="447">
        <v>46</v>
      </c>
      <c r="CD9" s="447">
        <v>10</v>
      </c>
      <c r="CE9" s="355">
        <f t="shared" si="31"/>
        <v>44</v>
      </c>
      <c r="CF9" s="356">
        <f t="shared" si="32"/>
        <v>0</v>
      </c>
      <c r="CG9" s="348">
        <f t="shared" si="33"/>
        <v>0</v>
      </c>
      <c r="CH9" s="370">
        <f t="shared" si="34"/>
        <v>9</v>
      </c>
      <c r="CI9" s="441"/>
      <c r="CJ9" s="451">
        <v>0.8</v>
      </c>
      <c r="CK9" s="372">
        <f t="shared" si="35"/>
        <v>192.8</v>
      </c>
      <c r="CL9" s="441">
        <v>0</v>
      </c>
      <c r="CM9" s="357" t="str">
        <f t="shared" si="36"/>
        <v>No coverage</v>
      </c>
      <c r="CN9" s="447">
        <v>0</v>
      </c>
      <c r="CO9" s="753" t="s">
        <v>292</v>
      </c>
      <c r="CP9" s="482"/>
    </row>
    <row r="10" spans="2:94" s="36" customFormat="1" ht="30.75" customHeight="1" x14ac:dyDescent="0.2">
      <c r="B10" s="438" t="s">
        <v>175</v>
      </c>
      <c r="C10" s="430" t="s">
        <v>503</v>
      </c>
      <c r="D10" s="430" t="s">
        <v>259</v>
      </c>
      <c r="E10" s="430" t="s">
        <v>177</v>
      </c>
      <c r="F10" s="430">
        <v>97.241630000000001</v>
      </c>
      <c r="G10" s="430">
        <v>24.266110000000001</v>
      </c>
      <c r="H10" s="430" t="s">
        <v>442</v>
      </c>
      <c r="I10" s="430" t="s">
        <v>213</v>
      </c>
      <c r="J10" s="430" t="s">
        <v>812</v>
      </c>
      <c r="K10" s="430" t="s">
        <v>800</v>
      </c>
      <c r="L10" s="721">
        <v>116</v>
      </c>
      <c r="M10" s="721">
        <v>659</v>
      </c>
      <c r="N10" s="431">
        <v>625</v>
      </c>
      <c r="O10" s="660">
        <v>625</v>
      </c>
      <c r="P10" s="796" t="str">
        <f t="shared" si="0"/>
        <v>2. Medium</v>
      </c>
      <c r="Q10" s="797" t="s">
        <v>937</v>
      </c>
      <c r="R10" s="432" t="s">
        <v>275</v>
      </c>
      <c r="S10" s="793" t="s">
        <v>232</v>
      </c>
      <c r="T10" s="365" t="str">
        <f t="shared" si="1"/>
        <v>Covered</v>
      </c>
      <c r="U10" s="437">
        <v>42521</v>
      </c>
      <c r="V10" s="784" t="s">
        <v>252</v>
      </c>
      <c r="W10" s="363" t="str">
        <f t="shared" si="2"/>
        <v>Documented</v>
      </c>
      <c r="X10" s="441">
        <v>0</v>
      </c>
      <c r="Y10" s="431">
        <v>0</v>
      </c>
      <c r="Z10" s="660" t="s">
        <v>19</v>
      </c>
      <c r="AA10" s="442" t="s">
        <v>19</v>
      </c>
      <c r="AB10" s="441">
        <v>3</v>
      </c>
      <c r="AC10" s="447">
        <v>0</v>
      </c>
      <c r="AD10" s="831">
        <v>13500</v>
      </c>
      <c r="AE10" s="454">
        <v>0</v>
      </c>
      <c r="AF10" s="463">
        <v>0</v>
      </c>
      <c r="AG10" s="455"/>
      <c r="AH10" s="368">
        <f t="shared" si="3"/>
        <v>1</v>
      </c>
      <c r="AI10" s="346">
        <f t="shared" si="4"/>
        <v>625</v>
      </c>
      <c r="AJ10" s="347">
        <f t="shared" si="5"/>
        <v>1</v>
      </c>
      <c r="AK10" s="348">
        <f t="shared" si="6"/>
        <v>625</v>
      </c>
      <c r="AL10" s="345">
        <f t="shared" si="7"/>
        <v>1</v>
      </c>
      <c r="AM10" s="348">
        <f t="shared" si="8"/>
        <v>625</v>
      </c>
      <c r="AN10" s="349" t="str">
        <f t="shared" si="9"/>
        <v>80-100%</v>
      </c>
      <c r="AO10" s="345">
        <f t="shared" si="10"/>
        <v>0</v>
      </c>
      <c r="AP10" s="350">
        <f t="shared" si="11"/>
        <v>0</v>
      </c>
      <c r="AQ10" s="348">
        <f t="shared" si="12"/>
        <v>0</v>
      </c>
      <c r="AR10" s="348">
        <f t="shared" si="13"/>
        <v>0</v>
      </c>
      <c r="AS10" s="348">
        <f t="shared" si="14"/>
        <v>0</v>
      </c>
      <c r="AT10" s="458">
        <v>1</v>
      </c>
      <c r="AU10" s="459">
        <f t="shared" si="15"/>
        <v>625</v>
      </c>
      <c r="AV10" s="448"/>
      <c r="AW10" s="813">
        <v>112</v>
      </c>
      <c r="AX10" s="449">
        <v>9</v>
      </c>
      <c r="AY10" s="431"/>
      <c r="AZ10" s="431">
        <v>16</v>
      </c>
      <c r="BA10" s="431" t="s">
        <v>888</v>
      </c>
      <c r="BB10" s="442" t="s">
        <v>289</v>
      </c>
      <c r="BC10" s="810">
        <f t="shared" si="16"/>
        <v>0.8</v>
      </c>
      <c r="BD10" s="348">
        <f t="shared" si="17"/>
        <v>500</v>
      </c>
      <c r="BE10" s="351">
        <f t="shared" si="18"/>
        <v>0.28800000000000003</v>
      </c>
      <c r="BF10" s="348">
        <f t="shared" si="19"/>
        <v>180.00000000000003</v>
      </c>
      <c r="BG10" s="351">
        <f t="shared" si="20"/>
        <v>0.51200000000000001</v>
      </c>
      <c r="BH10" s="348">
        <f t="shared" si="21"/>
        <v>320</v>
      </c>
      <c r="BI10" s="447">
        <v>0</v>
      </c>
      <c r="BJ10" s="463">
        <v>0.8</v>
      </c>
      <c r="BK10" s="352">
        <f t="shared" si="22"/>
        <v>500</v>
      </c>
      <c r="BL10" s="353">
        <f t="shared" si="23"/>
        <v>15.25</v>
      </c>
      <c r="BM10" s="431">
        <v>5</v>
      </c>
      <c r="BN10" s="431" t="s">
        <v>290</v>
      </c>
      <c r="BO10" s="351">
        <f t="shared" si="24"/>
        <v>0.8</v>
      </c>
      <c r="BP10" s="348">
        <f t="shared" si="25"/>
        <v>500</v>
      </c>
      <c r="BQ10" s="353">
        <f t="shared" si="26"/>
        <v>1.5899999999999999</v>
      </c>
      <c r="BR10" s="463">
        <v>0.8</v>
      </c>
      <c r="BS10" s="348">
        <f t="shared" si="27"/>
        <v>500</v>
      </c>
      <c r="BT10" s="431">
        <v>7</v>
      </c>
      <c r="BU10" s="351">
        <f t="shared" si="28"/>
        <v>1</v>
      </c>
      <c r="BV10" s="353">
        <f t="shared" si="29"/>
        <v>0</v>
      </c>
      <c r="BW10" s="451">
        <v>1</v>
      </c>
      <c r="BX10" s="473"/>
      <c r="BY10" s="475">
        <v>41766</v>
      </c>
      <c r="BZ10" s="663" t="s">
        <v>821</v>
      </c>
      <c r="CA10" s="666">
        <v>0</v>
      </c>
      <c r="CB10" s="354" t="str">
        <f t="shared" si="30"/>
        <v>To be realised</v>
      </c>
      <c r="CC10" s="447">
        <v>103</v>
      </c>
      <c r="CD10" s="447">
        <v>10</v>
      </c>
      <c r="CE10" s="355">
        <f t="shared" si="31"/>
        <v>116</v>
      </c>
      <c r="CF10" s="356">
        <f t="shared" si="32"/>
        <v>0</v>
      </c>
      <c r="CG10" s="348">
        <f t="shared" si="33"/>
        <v>0</v>
      </c>
      <c r="CH10" s="370">
        <f t="shared" si="34"/>
        <v>11</v>
      </c>
      <c r="CI10" s="441"/>
      <c r="CJ10" s="451">
        <v>0.8</v>
      </c>
      <c r="CK10" s="372">
        <f t="shared" si="35"/>
        <v>500</v>
      </c>
      <c r="CL10" s="441">
        <v>1</v>
      </c>
      <c r="CM10" s="357" t="str">
        <f t="shared" si="36"/>
        <v>Good coverage</v>
      </c>
      <c r="CN10" s="447">
        <v>0</v>
      </c>
      <c r="CO10" s="753" t="s">
        <v>292</v>
      </c>
      <c r="CP10" s="482"/>
    </row>
    <row r="11" spans="2:94" s="36" customFormat="1" ht="30.75" customHeight="1" x14ac:dyDescent="0.25">
      <c r="B11" s="438" t="s">
        <v>175</v>
      </c>
      <c r="C11" s="430" t="s">
        <v>504</v>
      </c>
      <c r="D11" s="430" t="s">
        <v>259</v>
      </c>
      <c r="E11" s="430" t="s">
        <v>454</v>
      </c>
      <c r="F11" s="430">
        <v>97.234200000000001</v>
      </c>
      <c r="G11" s="430">
        <v>24.253067000000001</v>
      </c>
      <c r="H11" s="430" t="s">
        <v>442</v>
      </c>
      <c r="I11" s="430" t="s">
        <v>213</v>
      </c>
      <c r="J11" s="430" t="s">
        <v>812</v>
      </c>
      <c r="K11" s="430" t="s">
        <v>800</v>
      </c>
      <c r="L11" s="722">
        <v>23</v>
      </c>
      <c r="M11" s="722">
        <v>86</v>
      </c>
      <c r="N11" s="639">
        <v>90</v>
      </c>
      <c r="O11" s="789">
        <v>90</v>
      </c>
      <c r="P11" s="796" t="str">
        <f t="shared" si="0"/>
        <v>1. Small</v>
      </c>
      <c r="Q11" s="797" t="s">
        <v>937</v>
      </c>
      <c r="R11" s="434" t="s">
        <v>275</v>
      </c>
      <c r="S11" s="792" t="s">
        <v>232</v>
      </c>
      <c r="T11" s="365" t="str">
        <f t="shared" si="1"/>
        <v>Covered</v>
      </c>
      <c r="U11" s="782">
        <v>42521</v>
      </c>
      <c r="V11" s="783" t="s">
        <v>252</v>
      </c>
      <c r="W11" s="363" t="str">
        <f t="shared" si="2"/>
        <v>Documented</v>
      </c>
      <c r="X11" s="443">
        <v>0</v>
      </c>
      <c r="Y11" s="433">
        <v>0</v>
      </c>
      <c r="Z11" s="659" t="s">
        <v>19</v>
      </c>
      <c r="AA11" s="444" t="s">
        <v>19</v>
      </c>
      <c r="AB11" s="443">
        <v>0</v>
      </c>
      <c r="AC11" s="433">
        <v>2</v>
      </c>
      <c r="AD11" s="832">
        <v>0</v>
      </c>
      <c r="AE11" s="452">
        <v>0</v>
      </c>
      <c r="AF11" s="461">
        <v>0</v>
      </c>
      <c r="AG11" s="453"/>
      <c r="AH11" s="368">
        <f t="shared" si="3"/>
        <v>1</v>
      </c>
      <c r="AI11" s="346">
        <f t="shared" si="4"/>
        <v>90</v>
      </c>
      <c r="AJ11" s="347">
        <f t="shared" si="5"/>
        <v>1</v>
      </c>
      <c r="AK11" s="348">
        <f t="shared" si="6"/>
        <v>90</v>
      </c>
      <c r="AL11" s="345">
        <f t="shared" si="7"/>
        <v>1</v>
      </c>
      <c r="AM11" s="348">
        <f t="shared" si="8"/>
        <v>90</v>
      </c>
      <c r="AN11" s="349" t="str">
        <f t="shared" si="9"/>
        <v>80-100%</v>
      </c>
      <c r="AO11" s="345">
        <f t="shared" si="10"/>
        <v>0</v>
      </c>
      <c r="AP11" s="350">
        <f t="shared" si="11"/>
        <v>0</v>
      </c>
      <c r="AQ11" s="348">
        <f t="shared" si="12"/>
        <v>0</v>
      </c>
      <c r="AR11" s="348">
        <f t="shared" si="13"/>
        <v>0</v>
      </c>
      <c r="AS11" s="348">
        <f t="shared" si="14"/>
        <v>0</v>
      </c>
      <c r="AT11" s="461">
        <v>1</v>
      </c>
      <c r="AU11" s="459">
        <f t="shared" si="15"/>
        <v>90</v>
      </c>
      <c r="AV11" s="453"/>
      <c r="AW11" s="812">
        <v>25</v>
      </c>
      <c r="AX11" s="443">
        <v>0</v>
      </c>
      <c r="AY11" s="433"/>
      <c r="AZ11" s="433">
        <v>4</v>
      </c>
      <c r="BA11" s="433" t="s">
        <v>889</v>
      </c>
      <c r="BB11" s="444" t="s">
        <v>89</v>
      </c>
      <c r="BC11" s="810">
        <f t="shared" si="16"/>
        <v>0.88888888888888884</v>
      </c>
      <c r="BD11" s="348">
        <f t="shared" si="17"/>
        <v>80</v>
      </c>
      <c r="BE11" s="351">
        <f t="shared" si="18"/>
        <v>0</v>
      </c>
      <c r="BF11" s="348">
        <f t="shared" si="19"/>
        <v>0</v>
      </c>
      <c r="BG11" s="351">
        <f t="shared" si="20"/>
        <v>0.88888888888888884</v>
      </c>
      <c r="BH11" s="348">
        <f t="shared" si="21"/>
        <v>80</v>
      </c>
      <c r="BI11" s="466">
        <v>0</v>
      </c>
      <c r="BJ11" s="461">
        <v>0.9</v>
      </c>
      <c r="BK11" s="352">
        <f t="shared" si="22"/>
        <v>81</v>
      </c>
      <c r="BL11" s="353">
        <f t="shared" si="23"/>
        <v>0.5</v>
      </c>
      <c r="BM11" s="433">
        <v>2</v>
      </c>
      <c r="BN11" s="433" t="s">
        <v>89</v>
      </c>
      <c r="BO11" s="351">
        <f t="shared" si="24"/>
        <v>1</v>
      </c>
      <c r="BP11" s="348">
        <f t="shared" si="25"/>
        <v>90</v>
      </c>
      <c r="BQ11" s="353">
        <f t="shared" si="26"/>
        <v>0</v>
      </c>
      <c r="BR11" s="467">
        <v>1</v>
      </c>
      <c r="BS11" s="348">
        <f t="shared" si="27"/>
        <v>90</v>
      </c>
      <c r="BT11" s="433">
        <v>2</v>
      </c>
      <c r="BU11" s="351">
        <f t="shared" si="28"/>
        <v>1</v>
      </c>
      <c r="BV11" s="353">
        <f t="shared" si="29"/>
        <v>0</v>
      </c>
      <c r="BW11" s="453">
        <v>1</v>
      </c>
      <c r="BX11" s="474"/>
      <c r="BY11" s="476">
        <v>41766</v>
      </c>
      <c r="BZ11" s="662" t="s">
        <v>821</v>
      </c>
      <c r="CA11" s="665">
        <v>0</v>
      </c>
      <c r="CB11" s="354" t="str">
        <f t="shared" si="30"/>
        <v>To be realised</v>
      </c>
      <c r="CC11" s="466">
        <v>19</v>
      </c>
      <c r="CD11" s="466">
        <v>10</v>
      </c>
      <c r="CE11" s="355">
        <f t="shared" si="31"/>
        <v>23</v>
      </c>
      <c r="CF11" s="356">
        <f t="shared" si="32"/>
        <v>0</v>
      </c>
      <c r="CG11" s="348">
        <f t="shared" si="33"/>
        <v>0</v>
      </c>
      <c r="CH11" s="370">
        <f t="shared" si="34"/>
        <v>11</v>
      </c>
      <c r="CI11" s="478"/>
      <c r="CJ11" s="453">
        <v>0.8</v>
      </c>
      <c r="CK11" s="372">
        <f t="shared" si="35"/>
        <v>72</v>
      </c>
      <c r="CL11" s="478">
        <v>1</v>
      </c>
      <c r="CM11" s="357" t="str">
        <f t="shared" si="36"/>
        <v>Excellent coverage</v>
      </c>
      <c r="CN11" s="447">
        <v>0</v>
      </c>
      <c r="CO11" s="752" t="s">
        <v>292</v>
      </c>
      <c r="CP11" s="485"/>
    </row>
    <row r="12" spans="2:94" s="36" customFormat="1" ht="30.75" customHeight="1" x14ac:dyDescent="0.25">
      <c r="B12" s="438" t="s">
        <v>175</v>
      </c>
      <c r="C12" s="430" t="s">
        <v>505</v>
      </c>
      <c r="D12" s="430" t="s">
        <v>259</v>
      </c>
      <c r="E12" s="430" t="s">
        <v>178</v>
      </c>
      <c r="F12" s="430">
        <v>97.315860000000001</v>
      </c>
      <c r="G12" s="430">
        <v>24.32638</v>
      </c>
      <c r="H12" s="430" t="s">
        <v>442</v>
      </c>
      <c r="I12" s="430" t="s">
        <v>213</v>
      </c>
      <c r="J12" s="430" t="s">
        <v>813</v>
      </c>
      <c r="K12" s="430" t="s">
        <v>800</v>
      </c>
      <c r="L12" s="722">
        <v>23</v>
      </c>
      <c r="M12" s="722">
        <v>124</v>
      </c>
      <c r="N12" s="639">
        <v>125</v>
      </c>
      <c r="O12" s="789">
        <v>125</v>
      </c>
      <c r="P12" s="796" t="str">
        <f t="shared" si="0"/>
        <v>1. Small</v>
      </c>
      <c r="Q12" s="797" t="s">
        <v>937</v>
      </c>
      <c r="R12" s="434" t="s">
        <v>230</v>
      </c>
      <c r="S12" s="792" t="s">
        <v>232</v>
      </c>
      <c r="T12" s="365" t="str">
        <f t="shared" si="1"/>
        <v>Covered</v>
      </c>
      <c r="U12" s="782">
        <v>42521</v>
      </c>
      <c r="V12" s="783" t="s">
        <v>252</v>
      </c>
      <c r="W12" s="363" t="str">
        <f t="shared" si="2"/>
        <v>Documented</v>
      </c>
      <c r="X12" s="443">
        <v>0</v>
      </c>
      <c r="Y12" s="433">
        <v>0</v>
      </c>
      <c r="Z12" s="659" t="s">
        <v>19</v>
      </c>
      <c r="AA12" s="444" t="s">
        <v>19</v>
      </c>
      <c r="AB12" s="443">
        <v>0</v>
      </c>
      <c r="AC12" s="433">
        <v>0</v>
      </c>
      <c r="AD12" s="832">
        <v>4860</v>
      </c>
      <c r="AE12" s="452">
        <v>0</v>
      </c>
      <c r="AF12" s="461">
        <v>0</v>
      </c>
      <c r="AG12" s="453"/>
      <c r="AH12" s="368">
        <f t="shared" si="3"/>
        <v>1</v>
      </c>
      <c r="AI12" s="346">
        <f t="shared" si="4"/>
        <v>125</v>
      </c>
      <c r="AJ12" s="347">
        <f t="shared" si="5"/>
        <v>1</v>
      </c>
      <c r="AK12" s="348">
        <f t="shared" si="6"/>
        <v>125</v>
      </c>
      <c r="AL12" s="345">
        <f t="shared" si="7"/>
        <v>1</v>
      </c>
      <c r="AM12" s="348">
        <f t="shared" si="8"/>
        <v>125</v>
      </c>
      <c r="AN12" s="349" t="str">
        <f t="shared" si="9"/>
        <v>80-100%</v>
      </c>
      <c r="AO12" s="345">
        <f t="shared" si="10"/>
        <v>0</v>
      </c>
      <c r="AP12" s="350">
        <f t="shared" si="11"/>
        <v>0</v>
      </c>
      <c r="AQ12" s="348">
        <f t="shared" si="12"/>
        <v>0.3125</v>
      </c>
      <c r="AR12" s="348">
        <f t="shared" si="13"/>
        <v>0</v>
      </c>
      <c r="AS12" s="348">
        <f t="shared" si="14"/>
        <v>0</v>
      </c>
      <c r="AT12" s="461">
        <v>1</v>
      </c>
      <c r="AU12" s="459">
        <f t="shared" si="15"/>
        <v>125</v>
      </c>
      <c r="AV12" s="453"/>
      <c r="AW12" s="812">
        <v>5</v>
      </c>
      <c r="AX12" s="443">
        <v>0</v>
      </c>
      <c r="AY12" s="433"/>
      <c r="AZ12" s="433">
        <v>10</v>
      </c>
      <c r="BA12" s="433" t="s">
        <v>888</v>
      </c>
      <c r="BB12" s="444" t="s">
        <v>290</v>
      </c>
      <c r="BC12" s="810">
        <f t="shared" si="16"/>
        <v>1</v>
      </c>
      <c r="BD12" s="348">
        <f t="shared" si="17"/>
        <v>125</v>
      </c>
      <c r="BE12" s="351">
        <f t="shared" si="18"/>
        <v>0</v>
      </c>
      <c r="BF12" s="348">
        <f t="shared" si="19"/>
        <v>0</v>
      </c>
      <c r="BG12" s="351">
        <f t="shared" si="20"/>
        <v>1</v>
      </c>
      <c r="BH12" s="348">
        <f t="shared" si="21"/>
        <v>125</v>
      </c>
      <c r="BI12" s="466">
        <v>0</v>
      </c>
      <c r="BJ12" s="461">
        <v>1</v>
      </c>
      <c r="BK12" s="352">
        <f t="shared" si="22"/>
        <v>125</v>
      </c>
      <c r="BL12" s="353">
        <f t="shared" si="23"/>
        <v>0</v>
      </c>
      <c r="BM12" s="433">
        <v>2</v>
      </c>
      <c r="BN12" s="433" t="s">
        <v>290</v>
      </c>
      <c r="BO12" s="351">
        <f t="shared" si="24"/>
        <v>1</v>
      </c>
      <c r="BP12" s="348">
        <f t="shared" si="25"/>
        <v>125</v>
      </c>
      <c r="BQ12" s="353">
        <f t="shared" si="26"/>
        <v>0</v>
      </c>
      <c r="BR12" s="467">
        <v>1</v>
      </c>
      <c r="BS12" s="348">
        <f t="shared" si="27"/>
        <v>125</v>
      </c>
      <c r="BT12" s="433">
        <v>1</v>
      </c>
      <c r="BU12" s="351">
        <f t="shared" si="28"/>
        <v>0.8</v>
      </c>
      <c r="BV12" s="353">
        <f t="shared" si="29"/>
        <v>0.24</v>
      </c>
      <c r="BW12" s="453">
        <v>0.81310000000000004</v>
      </c>
      <c r="BX12" s="474"/>
      <c r="BY12" s="476">
        <v>41834</v>
      </c>
      <c r="BZ12" s="662" t="s">
        <v>821</v>
      </c>
      <c r="CA12" s="665">
        <v>0</v>
      </c>
      <c r="CB12" s="354" t="str">
        <f t="shared" si="30"/>
        <v>To be realised</v>
      </c>
      <c r="CC12" s="466">
        <v>22</v>
      </c>
      <c r="CD12" s="466">
        <v>10</v>
      </c>
      <c r="CE12" s="355">
        <f t="shared" si="31"/>
        <v>23</v>
      </c>
      <c r="CF12" s="356">
        <f t="shared" si="32"/>
        <v>0</v>
      </c>
      <c r="CG12" s="348">
        <f t="shared" si="33"/>
        <v>0</v>
      </c>
      <c r="CH12" s="370">
        <f t="shared" si="34"/>
        <v>9</v>
      </c>
      <c r="CI12" s="478"/>
      <c r="CJ12" s="453">
        <v>0.8</v>
      </c>
      <c r="CK12" s="372">
        <f t="shared" si="35"/>
        <v>100</v>
      </c>
      <c r="CL12" s="478">
        <v>1</v>
      </c>
      <c r="CM12" s="357" t="str">
        <f t="shared" si="36"/>
        <v>Excellent coverage</v>
      </c>
      <c r="CN12" s="447">
        <v>0</v>
      </c>
      <c r="CO12" s="752" t="s">
        <v>65</v>
      </c>
      <c r="CP12" s="485" t="s">
        <v>866</v>
      </c>
    </row>
    <row r="13" spans="2:94" s="36" customFormat="1" ht="30.75" customHeight="1" x14ac:dyDescent="0.2">
      <c r="B13" s="438" t="s">
        <v>175</v>
      </c>
      <c r="C13" s="430" t="s">
        <v>506</v>
      </c>
      <c r="D13" s="430" t="s">
        <v>259</v>
      </c>
      <c r="E13" s="430" t="s">
        <v>656</v>
      </c>
      <c r="F13" s="430">
        <v>97.252650000000003</v>
      </c>
      <c r="G13" s="430">
        <v>24.222349999999999</v>
      </c>
      <c r="H13" s="430" t="s">
        <v>442</v>
      </c>
      <c r="I13" s="430" t="s">
        <v>213</v>
      </c>
      <c r="J13" s="430" t="s">
        <v>812</v>
      </c>
      <c r="K13" s="430" t="s">
        <v>800</v>
      </c>
      <c r="L13" s="721">
        <v>149</v>
      </c>
      <c r="M13" s="721">
        <v>745</v>
      </c>
      <c r="N13" s="431">
        <v>749</v>
      </c>
      <c r="O13" s="660">
        <v>745</v>
      </c>
      <c r="P13" s="796" t="str">
        <f t="shared" si="0"/>
        <v>2. Medium</v>
      </c>
      <c r="Q13" s="797" t="s">
        <v>322</v>
      </c>
      <c r="R13" s="432" t="s">
        <v>234</v>
      </c>
      <c r="S13" s="793" t="s">
        <v>233</v>
      </c>
      <c r="T13" s="365" t="str">
        <f t="shared" si="1"/>
        <v>Covered</v>
      </c>
      <c r="U13" s="437">
        <v>42521</v>
      </c>
      <c r="V13" s="784" t="s">
        <v>252</v>
      </c>
      <c r="W13" s="363" t="str">
        <f t="shared" si="2"/>
        <v>Documented</v>
      </c>
      <c r="X13" s="441">
        <v>0</v>
      </c>
      <c r="Y13" s="431">
        <v>0</v>
      </c>
      <c r="Z13" s="660" t="s">
        <v>19</v>
      </c>
      <c r="AA13" s="442" t="s">
        <v>19</v>
      </c>
      <c r="AB13" s="441">
        <v>0</v>
      </c>
      <c r="AC13" s="447">
        <v>0</v>
      </c>
      <c r="AD13" s="833">
        <v>55240</v>
      </c>
      <c r="AE13" s="454">
        <v>1</v>
      </c>
      <c r="AF13" s="463">
        <v>1</v>
      </c>
      <c r="AG13" s="455" t="s">
        <v>830</v>
      </c>
      <c r="AH13" s="368">
        <f t="shared" si="3"/>
        <v>1</v>
      </c>
      <c r="AI13" s="346">
        <f t="shared" si="4"/>
        <v>745</v>
      </c>
      <c r="AJ13" s="347">
        <f t="shared" si="5"/>
        <v>1</v>
      </c>
      <c r="AK13" s="348">
        <f t="shared" si="6"/>
        <v>745</v>
      </c>
      <c r="AL13" s="345">
        <f t="shared" si="7"/>
        <v>1</v>
      </c>
      <c r="AM13" s="348">
        <f t="shared" si="8"/>
        <v>745</v>
      </c>
      <c r="AN13" s="349" t="str">
        <f t="shared" si="9"/>
        <v>80-100%</v>
      </c>
      <c r="AO13" s="345">
        <f t="shared" si="10"/>
        <v>0</v>
      </c>
      <c r="AP13" s="350">
        <f t="shared" si="11"/>
        <v>0</v>
      </c>
      <c r="AQ13" s="348">
        <f t="shared" si="12"/>
        <v>1.8625</v>
      </c>
      <c r="AR13" s="348">
        <f t="shared" si="13"/>
        <v>149</v>
      </c>
      <c r="AS13" s="348">
        <f t="shared" si="14"/>
        <v>745</v>
      </c>
      <c r="AT13" s="458">
        <v>1</v>
      </c>
      <c r="AU13" s="459">
        <f t="shared" si="15"/>
        <v>745</v>
      </c>
      <c r="AV13" s="448" t="s">
        <v>780</v>
      </c>
      <c r="AW13" s="813">
        <v>0</v>
      </c>
      <c r="AX13" s="449">
        <v>23</v>
      </c>
      <c r="AY13" s="431"/>
      <c r="AZ13" s="431">
        <v>22</v>
      </c>
      <c r="BA13" s="431" t="s">
        <v>889</v>
      </c>
      <c r="BB13" s="442" t="s">
        <v>289</v>
      </c>
      <c r="BC13" s="810">
        <f t="shared" si="16"/>
        <v>1</v>
      </c>
      <c r="BD13" s="348">
        <f t="shared" si="17"/>
        <v>745</v>
      </c>
      <c r="BE13" s="351">
        <f t="shared" si="18"/>
        <v>0.40939597315436238</v>
      </c>
      <c r="BF13" s="348">
        <f t="shared" si="19"/>
        <v>305</v>
      </c>
      <c r="BG13" s="351">
        <f t="shared" si="20"/>
        <v>0.59060402684563762</v>
      </c>
      <c r="BH13" s="348">
        <f t="shared" si="21"/>
        <v>440</v>
      </c>
      <c r="BI13" s="447">
        <v>0</v>
      </c>
      <c r="BJ13" s="463">
        <v>1</v>
      </c>
      <c r="BK13" s="352">
        <f t="shared" si="22"/>
        <v>745</v>
      </c>
      <c r="BL13" s="353">
        <f t="shared" si="23"/>
        <v>15.25</v>
      </c>
      <c r="BM13" s="431">
        <v>8</v>
      </c>
      <c r="BN13" s="431" t="s">
        <v>290</v>
      </c>
      <c r="BO13" s="351">
        <f t="shared" si="24"/>
        <v>1</v>
      </c>
      <c r="BP13" s="348">
        <f t="shared" si="25"/>
        <v>745</v>
      </c>
      <c r="BQ13" s="353">
        <f t="shared" si="26"/>
        <v>0</v>
      </c>
      <c r="BR13" s="463">
        <v>1</v>
      </c>
      <c r="BS13" s="348">
        <f t="shared" si="27"/>
        <v>745</v>
      </c>
      <c r="BT13" s="431">
        <v>18</v>
      </c>
      <c r="BU13" s="351">
        <f t="shared" si="28"/>
        <v>1</v>
      </c>
      <c r="BV13" s="353">
        <f t="shared" si="29"/>
        <v>0</v>
      </c>
      <c r="BW13" s="451">
        <v>1</v>
      </c>
      <c r="BX13" s="473" t="s">
        <v>941</v>
      </c>
      <c r="BY13" s="475">
        <v>42402</v>
      </c>
      <c r="BZ13" s="663" t="s">
        <v>823</v>
      </c>
      <c r="CA13" s="666">
        <v>0.45</v>
      </c>
      <c r="CB13" s="354">
        <f t="shared" si="30"/>
        <v>42767</v>
      </c>
      <c r="CC13" s="431">
        <v>133</v>
      </c>
      <c r="CD13" s="431">
        <v>9</v>
      </c>
      <c r="CE13" s="355">
        <f t="shared" si="31"/>
        <v>16</v>
      </c>
      <c r="CF13" s="356">
        <f t="shared" si="32"/>
        <v>0.89261744966442957</v>
      </c>
      <c r="CG13" s="348">
        <f t="shared" si="33"/>
        <v>665</v>
      </c>
      <c r="CH13" s="370">
        <f t="shared" si="34"/>
        <v>0</v>
      </c>
      <c r="CI13" s="441"/>
      <c r="CJ13" s="451">
        <v>1</v>
      </c>
      <c r="CK13" s="372">
        <f t="shared" si="35"/>
        <v>745</v>
      </c>
      <c r="CL13" s="441">
        <v>7</v>
      </c>
      <c r="CM13" s="357" t="str">
        <f t="shared" si="36"/>
        <v>Excellent coverage</v>
      </c>
      <c r="CN13" s="447">
        <v>0</v>
      </c>
      <c r="CO13" s="753" t="s">
        <v>65</v>
      </c>
      <c r="CP13" s="482"/>
    </row>
    <row r="14" spans="2:94" s="36" customFormat="1" ht="30.75" customHeight="1" x14ac:dyDescent="0.2">
      <c r="B14" s="438" t="s">
        <v>175</v>
      </c>
      <c r="C14" s="430" t="s">
        <v>507</v>
      </c>
      <c r="D14" s="430" t="s">
        <v>259</v>
      </c>
      <c r="E14" s="430" t="s">
        <v>774</v>
      </c>
      <c r="F14" s="430">
        <v>97.228769999999997</v>
      </c>
      <c r="G14" s="430">
        <v>24.26502</v>
      </c>
      <c r="H14" s="430" t="s">
        <v>442</v>
      </c>
      <c r="I14" s="430" t="s">
        <v>213</v>
      </c>
      <c r="J14" s="430" t="s">
        <v>812</v>
      </c>
      <c r="K14" s="430" t="s">
        <v>800</v>
      </c>
      <c r="L14" s="722">
        <v>618</v>
      </c>
      <c r="M14" s="722">
        <v>3755</v>
      </c>
      <c r="N14" s="639">
        <v>3781</v>
      </c>
      <c r="O14" s="789">
        <v>3755</v>
      </c>
      <c r="P14" s="796" t="str">
        <f t="shared" si="0"/>
        <v>4. Big</v>
      </c>
      <c r="Q14" s="797" t="s">
        <v>322</v>
      </c>
      <c r="R14" s="432" t="s">
        <v>234</v>
      </c>
      <c r="S14" s="793" t="s">
        <v>233</v>
      </c>
      <c r="T14" s="365" t="str">
        <f t="shared" si="1"/>
        <v>Covered</v>
      </c>
      <c r="U14" s="437">
        <v>42521</v>
      </c>
      <c r="V14" s="784" t="s">
        <v>252</v>
      </c>
      <c r="W14" s="363" t="str">
        <f t="shared" si="2"/>
        <v>Documented</v>
      </c>
      <c r="X14" s="441">
        <v>0</v>
      </c>
      <c r="Y14" s="431">
        <v>0</v>
      </c>
      <c r="Z14" s="660" t="s">
        <v>19</v>
      </c>
      <c r="AA14" s="442" t="s">
        <v>19</v>
      </c>
      <c r="AB14" s="441">
        <v>2</v>
      </c>
      <c r="AC14" s="447">
        <v>19</v>
      </c>
      <c r="AD14" s="833">
        <v>115116</v>
      </c>
      <c r="AE14" s="454">
        <v>1</v>
      </c>
      <c r="AF14" s="463">
        <v>1</v>
      </c>
      <c r="AG14" s="455" t="s">
        <v>830</v>
      </c>
      <c r="AH14" s="368">
        <f t="shared" si="3"/>
        <v>1</v>
      </c>
      <c r="AI14" s="346">
        <f t="shared" si="4"/>
        <v>3755</v>
      </c>
      <c r="AJ14" s="347">
        <f t="shared" si="5"/>
        <v>1</v>
      </c>
      <c r="AK14" s="348">
        <f t="shared" si="6"/>
        <v>3755</v>
      </c>
      <c r="AL14" s="345">
        <f t="shared" si="7"/>
        <v>1</v>
      </c>
      <c r="AM14" s="348">
        <f t="shared" si="8"/>
        <v>3755</v>
      </c>
      <c r="AN14" s="349" t="str">
        <f t="shared" si="9"/>
        <v>80-100%</v>
      </c>
      <c r="AO14" s="345">
        <f t="shared" si="10"/>
        <v>0</v>
      </c>
      <c r="AP14" s="350">
        <f t="shared" si="11"/>
        <v>0</v>
      </c>
      <c r="AQ14" s="348">
        <f t="shared" si="12"/>
        <v>0</v>
      </c>
      <c r="AR14" s="348">
        <f t="shared" si="13"/>
        <v>618</v>
      </c>
      <c r="AS14" s="348">
        <f t="shared" si="14"/>
        <v>3755</v>
      </c>
      <c r="AT14" s="458">
        <v>1</v>
      </c>
      <c r="AU14" s="459">
        <f t="shared" si="15"/>
        <v>3755</v>
      </c>
      <c r="AV14" s="448" t="s">
        <v>929</v>
      </c>
      <c r="AW14" s="813">
        <v>4</v>
      </c>
      <c r="AX14" s="449">
        <v>42</v>
      </c>
      <c r="AY14" s="431"/>
      <c r="AZ14" s="431">
        <v>111</v>
      </c>
      <c r="BA14" s="431" t="s">
        <v>889</v>
      </c>
      <c r="BB14" s="442" t="s">
        <v>289</v>
      </c>
      <c r="BC14" s="810">
        <f t="shared" si="16"/>
        <v>0.81491344873501992</v>
      </c>
      <c r="BD14" s="348">
        <f t="shared" si="17"/>
        <v>3060</v>
      </c>
      <c r="BE14" s="351">
        <f t="shared" si="18"/>
        <v>0.22370173102529956</v>
      </c>
      <c r="BF14" s="348">
        <f t="shared" si="19"/>
        <v>839.99999999999977</v>
      </c>
      <c r="BG14" s="351">
        <f t="shared" si="20"/>
        <v>0.59121171770972036</v>
      </c>
      <c r="BH14" s="348">
        <f t="shared" si="21"/>
        <v>2220</v>
      </c>
      <c r="BI14" s="447">
        <v>4</v>
      </c>
      <c r="BJ14" s="463">
        <v>0.9</v>
      </c>
      <c r="BK14" s="352">
        <f t="shared" si="22"/>
        <v>3379.5</v>
      </c>
      <c r="BL14" s="353">
        <f t="shared" si="23"/>
        <v>80.75</v>
      </c>
      <c r="BM14" s="431">
        <v>11</v>
      </c>
      <c r="BN14" s="431" t="s">
        <v>291</v>
      </c>
      <c r="BO14" s="351">
        <f t="shared" si="24"/>
        <v>0.29294274300932088</v>
      </c>
      <c r="BP14" s="348">
        <f t="shared" si="25"/>
        <v>1100</v>
      </c>
      <c r="BQ14" s="353">
        <f t="shared" si="26"/>
        <v>26.549999999999997</v>
      </c>
      <c r="BR14" s="463">
        <v>0.28999999999999998</v>
      </c>
      <c r="BS14" s="348">
        <f t="shared" si="27"/>
        <v>1088.9499999999998</v>
      </c>
      <c r="BT14" s="431">
        <v>34</v>
      </c>
      <c r="BU14" s="351">
        <f t="shared" si="28"/>
        <v>0.90545938748335553</v>
      </c>
      <c r="BV14" s="353">
        <f t="shared" si="29"/>
        <v>3.5499999999999972</v>
      </c>
      <c r="BW14" s="451">
        <v>0.91</v>
      </c>
      <c r="BX14" s="473" t="s">
        <v>942</v>
      </c>
      <c r="BY14" s="475">
        <v>42408</v>
      </c>
      <c r="BZ14" s="663" t="s">
        <v>823</v>
      </c>
      <c r="CA14" s="666">
        <v>0.45</v>
      </c>
      <c r="CB14" s="354">
        <f t="shared" si="30"/>
        <v>42773</v>
      </c>
      <c r="CC14" s="431">
        <v>513</v>
      </c>
      <c r="CD14" s="431">
        <v>9</v>
      </c>
      <c r="CE14" s="355">
        <f t="shared" si="31"/>
        <v>105</v>
      </c>
      <c r="CF14" s="356">
        <f t="shared" si="32"/>
        <v>0.83009708737864074</v>
      </c>
      <c r="CG14" s="348">
        <f t="shared" si="33"/>
        <v>3117.0145631067958</v>
      </c>
      <c r="CH14" s="370">
        <f t="shared" si="34"/>
        <v>0</v>
      </c>
      <c r="CI14" s="441"/>
      <c r="CJ14" s="451">
        <v>1</v>
      </c>
      <c r="CK14" s="372">
        <f t="shared" si="35"/>
        <v>3755</v>
      </c>
      <c r="CL14" s="441">
        <v>11</v>
      </c>
      <c r="CM14" s="357" t="str">
        <f t="shared" si="36"/>
        <v>Excellent coverage</v>
      </c>
      <c r="CN14" s="447">
        <v>0</v>
      </c>
      <c r="CO14" s="753" t="s">
        <v>65</v>
      </c>
      <c r="CP14" s="482"/>
    </row>
    <row r="15" spans="2:94" s="36" customFormat="1" ht="30.75" customHeight="1" x14ac:dyDescent="0.2">
      <c r="B15" s="438" t="s">
        <v>175</v>
      </c>
      <c r="C15" s="430" t="s">
        <v>508</v>
      </c>
      <c r="D15" s="430" t="s">
        <v>259</v>
      </c>
      <c r="E15" s="430" t="s">
        <v>179</v>
      </c>
      <c r="F15" s="430">
        <v>97.227789999999999</v>
      </c>
      <c r="G15" s="430">
        <v>24.29138</v>
      </c>
      <c r="H15" s="430" t="s">
        <v>442</v>
      </c>
      <c r="I15" s="430" t="s">
        <v>213</v>
      </c>
      <c r="J15" s="430" t="s">
        <v>812</v>
      </c>
      <c r="K15" s="430" t="s">
        <v>800</v>
      </c>
      <c r="L15" s="722">
        <v>25</v>
      </c>
      <c r="M15" s="722">
        <v>111</v>
      </c>
      <c r="N15" s="639">
        <v>111</v>
      </c>
      <c r="O15" s="789">
        <v>111</v>
      </c>
      <c r="P15" s="796" t="str">
        <f t="shared" si="0"/>
        <v>1. Small</v>
      </c>
      <c r="Q15" s="797" t="s">
        <v>322</v>
      </c>
      <c r="R15" s="432" t="s">
        <v>275</v>
      </c>
      <c r="S15" s="793" t="s">
        <v>233</v>
      </c>
      <c r="T15" s="365" t="str">
        <f t="shared" si="1"/>
        <v>Covered</v>
      </c>
      <c r="U15" s="437">
        <v>42521</v>
      </c>
      <c r="V15" s="784" t="s">
        <v>252</v>
      </c>
      <c r="W15" s="363" t="str">
        <f t="shared" si="2"/>
        <v>Documented</v>
      </c>
      <c r="X15" s="441">
        <v>0</v>
      </c>
      <c r="Y15" s="431">
        <v>0</v>
      </c>
      <c r="Z15" s="660" t="s">
        <v>19</v>
      </c>
      <c r="AA15" s="442" t="s">
        <v>19</v>
      </c>
      <c r="AB15" s="441">
        <v>0</v>
      </c>
      <c r="AC15" s="447">
        <v>0</v>
      </c>
      <c r="AD15" s="833">
        <v>20370</v>
      </c>
      <c r="AE15" s="454">
        <v>0</v>
      </c>
      <c r="AF15" s="463">
        <v>1</v>
      </c>
      <c r="AG15" s="455" t="s">
        <v>830</v>
      </c>
      <c r="AH15" s="368">
        <f t="shared" si="3"/>
        <v>1</v>
      </c>
      <c r="AI15" s="346">
        <f t="shared" si="4"/>
        <v>111</v>
      </c>
      <c r="AJ15" s="347">
        <f t="shared" si="5"/>
        <v>1</v>
      </c>
      <c r="AK15" s="348">
        <f t="shared" si="6"/>
        <v>111</v>
      </c>
      <c r="AL15" s="345">
        <f t="shared" si="7"/>
        <v>1</v>
      </c>
      <c r="AM15" s="348">
        <f t="shared" si="8"/>
        <v>111</v>
      </c>
      <c r="AN15" s="349" t="str">
        <f t="shared" si="9"/>
        <v>80-100%</v>
      </c>
      <c r="AO15" s="345">
        <f t="shared" si="10"/>
        <v>0</v>
      </c>
      <c r="AP15" s="350">
        <f t="shared" si="11"/>
        <v>0</v>
      </c>
      <c r="AQ15" s="348">
        <f t="shared" si="12"/>
        <v>0.27750000000000002</v>
      </c>
      <c r="AR15" s="348">
        <f t="shared" si="13"/>
        <v>25</v>
      </c>
      <c r="AS15" s="348">
        <f t="shared" si="14"/>
        <v>0</v>
      </c>
      <c r="AT15" s="458">
        <v>1</v>
      </c>
      <c r="AU15" s="459">
        <f t="shared" si="15"/>
        <v>111</v>
      </c>
      <c r="AV15" s="448" t="s">
        <v>930</v>
      </c>
      <c r="AW15" s="813">
        <v>2</v>
      </c>
      <c r="AX15" s="449">
        <v>6</v>
      </c>
      <c r="AY15" s="431"/>
      <c r="AZ15" s="431">
        <v>10</v>
      </c>
      <c r="BA15" s="431" t="s">
        <v>889</v>
      </c>
      <c r="BB15" s="442" t="s">
        <v>289</v>
      </c>
      <c r="BC15" s="810">
        <f t="shared" si="16"/>
        <v>1</v>
      </c>
      <c r="BD15" s="348">
        <f t="shared" si="17"/>
        <v>111</v>
      </c>
      <c r="BE15" s="351">
        <f t="shared" si="18"/>
        <v>0</v>
      </c>
      <c r="BF15" s="348">
        <f t="shared" si="19"/>
        <v>0</v>
      </c>
      <c r="BG15" s="351">
        <f t="shared" si="20"/>
        <v>1</v>
      </c>
      <c r="BH15" s="348">
        <f t="shared" si="21"/>
        <v>111</v>
      </c>
      <c r="BI15" s="447">
        <v>0</v>
      </c>
      <c r="BJ15" s="463">
        <v>1</v>
      </c>
      <c r="BK15" s="352">
        <f t="shared" si="22"/>
        <v>111</v>
      </c>
      <c r="BL15" s="353">
        <f t="shared" si="23"/>
        <v>0</v>
      </c>
      <c r="BM15" s="431">
        <v>4</v>
      </c>
      <c r="BN15" s="431" t="s">
        <v>290</v>
      </c>
      <c r="BO15" s="351">
        <f t="shared" si="24"/>
        <v>1</v>
      </c>
      <c r="BP15" s="348">
        <f t="shared" si="25"/>
        <v>111</v>
      </c>
      <c r="BQ15" s="353">
        <f t="shared" si="26"/>
        <v>0</v>
      </c>
      <c r="BR15" s="463">
        <v>1</v>
      </c>
      <c r="BS15" s="348">
        <f t="shared" si="27"/>
        <v>111</v>
      </c>
      <c r="BT15" s="431">
        <v>5</v>
      </c>
      <c r="BU15" s="351">
        <f t="shared" si="28"/>
        <v>1</v>
      </c>
      <c r="BV15" s="353">
        <f t="shared" si="29"/>
        <v>0</v>
      </c>
      <c r="BW15" s="451">
        <v>1</v>
      </c>
      <c r="BX15" s="473"/>
      <c r="BY15" s="475">
        <v>42404</v>
      </c>
      <c r="BZ15" s="663" t="s">
        <v>823</v>
      </c>
      <c r="CA15" s="666">
        <v>0.45</v>
      </c>
      <c r="CB15" s="354">
        <f t="shared" si="30"/>
        <v>42769</v>
      </c>
      <c r="CC15" s="431">
        <v>22</v>
      </c>
      <c r="CD15" s="431">
        <v>9</v>
      </c>
      <c r="CE15" s="355">
        <f t="shared" si="31"/>
        <v>3</v>
      </c>
      <c r="CF15" s="356">
        <f t="shared" si="32"/>
        <v>0.88</v>
      </c>
      <c r="CG15" s="348">
        <f t="shared" si="33"/>
        <v>97.68</v>
      </c>
      <c r="CH15" s="370">
        <f t="shared" si="34"/>
        <v>0</v>
      </c>
      <c r="CI15" s="441"/>
      <c r="CJ15" s="451">
        <v>1</v>
      </c>
      <c r="CK15" s="372">
        <f t="shared" si="35"/>
        <v>111</v>
      </c>
      <c r="CL15" s="441">
        <v>1</v>
      </c>
      <c r="CM15" s="357" t="str">
        <f t="shared" si="36"/>
        <v>Excellent coverage</v>
      </c>
      <c r="CN15" s="447">
        <v>0</v>
      </c>
      <c r="CO15" s="753" t="s">
        <v>65</v>
      </c>
      <c r="CP15" s="482"/>
    </row>
    <row r="16" spans="2:94" s="36" customFormat="1" ht="30.75" customHeight="1" x14ac:dyDescent="0.25">
      <c r="B16" s="438" t="s">
        <v>175</v>
      </c>
      <c r="C16" s="430" t="s">
        <v>509</v>
      </c>
      <c r="D16" s="430" t="s">
        <v>259</v>
      </c>
      <c r="E16" s="430" t="s">
        <v>180</v>
      </c>
      <c r="F16" s="430">
        <v>97.246889999999993</v>
      </c>
      <c r="G16" s="430">
        <v>24.244129999999998</v>
      </c>
      <c r="H16" s="430" t="s">
        <v>442</v>
      </c>
      <c r="I16" s="430" t="s">
        <v>213</v>
      </c>
      <c r="J16" s="430" t="s">
        <v>812</v>
      </c>
      <c r="K16" s="430" t="s">
        <v>800</v>
      </c>
      <c r="L16" s="722">
        <v>15</v>
      </c>
      <c r="M16" s="722">
        <v>64</v>
      </c>
      <c r="N16" s="639">
        <v>75</v>
      </c>
      <c r="O16" s="789">
        <v>75</v>
      </c>
      <c r="P16" s="796" t="str">
        <f t="shared" si="0"/>
        <v>1. Small</v>
      </c>
      <c r="Q16" s="797" t="s">
        <v>937</v>
      </c>
      <c r="R16" s="434" t="s">
        <v>275</v>
      </c>
      <c r="S16" s="792" t="s">
        <v>232</v>
      </c>
      <c r="T16" s="365" t="str">
        <f t="shared" si="1"/>
        <v>Covered</v>
      </c>
      <c r="U16" s="782">
        <v>42521</v>
      </c>
      <c r="V16" s="783" t="s">
        <v>252</v>
      </c>
      <c r="W16" s="363" t="str">
        <f t="shared" si="2"/>
        <v>Documented</v>
      </c>
      <c r="X16" s="443">
        <v>0</v>
      </c>
      <c r="Y16" s="433">
        <v>0</v>
      </c>
      <c r="Z16" s="659" t="s">
        <v>19</v>
      </c>
      <c r="AA16" s="444" t="s">
        <v>19</v>
      </c>
      <c r="AB16" s="443">
        <v>0</v>
      </c>
      <c r="AC16" s="433">
        <v>2</v>
      </c>
      <c r="AD16" s="832">
        <v>3915</v>
      </c>
      <c r="AE16" s="452">
        <v>0</v>
      </c>
      <c r="AF16" s="461">
        <v>0</v>
      </c>
      <c r="AG16" s="453"/>
      <c r="AH16" s="368">
        <f t="shared" si="3"/>
        <v>1</v>
      </c>
      <c r="AI16" s="346">
        <f t="shared" si="4"/>
        <v>75</v>
      </c>
      <c r="AJ16" s="347">
        <f t="shared" si="5"/>
        <v>1</v>
      </c>
      <c r="AK16" s="348">
        <f t="shared" si="6"/>
        <v>75</v>
      </c>
      <c r="AL16" s="345">
        <f t="shared" si="7"/>
        <v>1</v>
      </c>
      <c r="AM16" s="348">
        <f t="shared" si="8"/>
        <v>75</v>
      </c>
      <c r="AN16" s="349" t="str">
        <f t="shared" si="9"/>
        <v>80-100%</v>
      </c>
      <c r="AO16" s="345">
        <f t="shared" si="10"/>
        <v>0</v>
      </c>
      <c r="AP16" s="350">
        <f t="shared" si="11"/>
        <v>0</v>
      </c>
      <c r="AQ16" s="348">
        <f t="shared" si="12"/>
        <v>0</v>
      </c>
      <c r="AR16" s="348">
        <f t="shared" si="13"/>
        <v>0</v>
      </c>
      <c r="AS16" s="348">
        <f t="shared" si="14"/>
        <v>0</v>
      </c>
      <c r="AT16" s="461">
        <v>1</v>
      </c>
      <c r="AU16" s="459">
        <f t="shared" si="15"/>
        <v>75</v>
      </c>
      <c r="AV16" s="453"/>
      <c r="AW16" s="812">
        <v>34</v>
      </c>
      <c r="AX16" s="443">
        <v>0</v>
      </c>
      <c r="AY16" s="433"/>
      <c r="AZ16" s="433">
        <v>10</v>
      </c>
      <c r="BA16" s="433" t="s">
        <v>888</v>
      </c>
      <c r="BB16" s="444" t="s">
        <v>290</v>
      </c>
      <c r="BC16" s="810">
        <f t="shared" si="16"/>
        <v>1</v>
      </c>
      <c r="BD16" s="348">
        <f t="shared" si="17"/>
        <v>75</v>
      </c>
      <c r="BE16" s="351">
        <f t="shared" si="18"/>
        <v>0</v>
      </c>
      <c r="BF16" s="348">
        <f t="shared" si="19"/>
        <v>0</v>
      </c>
      <c r="BG16" s="351">
        <f t="shared" si="20"/>
        <v>1</v>
      </c>
      <c r="BH16" s="348">
        <f t="shared" si="21"/>
        <v>75</v>
      </c>
      <c r="BI16" s="466">
        <v>0</v>
      </c>
      <c r="BJ16" s="461">
        <v>1</v>
      </c>
      <c r="BK16" s="352">
        <f t="shared" si="22"/>
        <v>75</v>
      </c>
      <c r="BL16" s="353">
        <f t="shared" si="23"/>
        <v>0</v>
      </c>
      <c r="BM16" s="433">
        <v>1</v>
      </c>
      <c r="BN16" s="433" t="s">
        <v>89</v>
      </c>
      <c r="BO16" s="351">
        <f t="shared" si="24"/>
        <v>1</v>
      </c>
      <c r="BP16" s="348">
        <f t="shared" si="25"/>
        <v>75</v>
      </c>
      <c r="BQ16" s="353">
        <f t="shared" si="26"/>
        <v>0</v>
      </c>
      <c r="BR16" s="467">
        <v>1</v>
      </c>
      <c r="BS16" s="348">
        <f t="shared" si="27"/>
        <v>75</v>
      </c>
      <c r="BT16" s="433">
        <v>1</v>
      </c>
      <c r="BU16" s="351">
        <f t="shared" si="28"/>
        <v>1</v>
      </c>
      <c r="BV16" s="353">
        <f t="shared" si="29"/>
        <v>0</v>
      </c>
      <c r="BW16" s="453">
        <v>1</v>
      </c>
      <c r="BX16" s="474"/>
      <c r="BY16" s="476">
        <v>41766</v>
      </c>
      <c r="BZ16" s="662" t="s">
        <v>821</v>
      </c>
      <c r="CA16" s="665">
        <v>0</v>
      </c>
      <c r="CB16" s="354" t="str">
        <f t="shared" si="30"/>
        <v>To be realised</v>
      </c>
      <c r="CC16" s="466">
        <v>17</v>
      </c>
      <c r="CD16" s="466">
        <v>10</v>
      </c>
      <c r="CE16" s="355">
        <f t="shared" si="31"/>
        <v>15</v>
      </c>
      <c r="CF16" s="356">
        <f t="shared" si="32"/>
        <v>0</v>
      </c>
      <c r="CG16" s="348">
        <f t="shared" si="33"/>
        <v>0</v>
      </c>
      <c r="CH16" s="370">
        <f t="shared" si="34"/>
        <v>11</v>
      </c>
      <c r="CI16" s="478"/>
      <c r="CJ16" s="453">
        <v>0.8</v>
      </c>
      <c r="CK16" s="372">
        <f t="shared" si="35"/>
        <v>60</v>
      </c>
      <c r="CL16" s="478">
        <v>0</v>
      </c>
      <c r="CM16" s="357" t="str">
        <f t="shared" si="36"/>
        <v>No coverage</v>
      </c>
      <c r="CN16" s="447">
        <v>0</v>
      </c>
      <c r="CO16" s="752" t="s">
        <v>292</v>
      </c>
      <c r="CP16" s="485"/>
    </row>
    <row r="17" spans="2:94" s="36" customFormat="1" ht="30.75" customHeight="1" x14ac:dyDescent="0.2">
      <c r="B17" s="438" t="s">
        <v>104</v>
      </c>
      <c r="C17" s="430"/>
      <c r="D17" s="430" t="s">
        <v>313</v>
      </c>
      <c r="E17" s="430" t="s">
        <v>464</v>
      </c>
      <c r="F17" s="430">
        <v>98.134313888888897</v>
      </c>
      <c r="G17" s="430">
        <v>25.8873472222222</v>
      </c>
      <c r="H17" s="430" t="s">
        <v>443</v>
      </c>
      <c r="I17" s="430" t="s">
        <v>213</v>
      </c>
      <c r="J17" s="430" t="s">
        <v>812</v>
      </c>
      <c r="K17" s="430" t="s">
        <v>805</v>
      </c>
      <c r="L17" s="721"/>
      <c r="M17" s="721">
        <v>45</v>
      </c>
      <c r="N17" s="431">
        <v>45</v>
      </c>
      <c r="O17" s="660">
        <v>45</v>
      </c>
      <c r="P17" s="796" t="str">
        <f t="shared" si="0"/>
        <v>1. Small</v>
      </c>
      <c r="Q17" s="797"/>
      <c r="R17" s="432" t="s">
        <v>230</v>
      </c>
      <c r="S17" s="793" t="s">
        <v>299</v>
      </c>
      <c r="T17" s="365" t="str">
        <f t="shared" si="1"/>
        <v>Not covered</v>
      </c>
      <c r="U17" s="437" t="s">
        <v>619</v>
      </c>
      <c r="V17" s="783" t="s">
        <v>254</v>
      </c>
      <c r="W17" s="363" t="str">
        <f t="shared" si="2"/>
        <v>Not documented</v>
      </c>
      <c r="X17" s="441">
        <v>0</v>
      </c>
      <c r="Y17" s="431">
        <v>0</v>
      </c>
      <c r="Z17" s="660" t="s">
        <v>19</v>
      </c>
      <c r="AA17" s="442" t="s">
        <v>19</v>
      </c>
      <c r="AB17" s="441">
        <v>0</v>
      </c>
      <c r="AC17" s="447">
        <v>0</v>
      </c>
      <c r="AD17" s="831">
        <v>860</v>
      </c>
      <c r="AE17" s="454">
        <v>0</v>
      </c>
      <c r="AF17" s="463">
        <v>1</v>
      </c>
      <c r="AG17" s="455" t="s">
        <v>831</v>
      </c>
      <c r="AH17" s="368">
        <f t="shared" si="3"/>
        <v>1</v>
      </c>
      <c r="AI17" s="346">
        <f t="shared" si="4"/>
        <v>45</v>
      </c>
      <c r="AJ17" s="347">
        <f t="shared" si="5"/>
        <v>1</v>
      </c>
      <c r="AK17" s="348">
        <f t="shared" si="6"/>
        <v>45</v>
      </c>
      <c r="AL17" s="345">
        <f t="shared" si="7"/>
        <v>1</v>
      </c>
      <c r="AM17" s="348">
        <f t="shared" si="8"/>
        <v>45</v>
      </c>
      <c r="AN17" s="349" t="str">
        <f t="shared" si="9"/>
        <v>80-100%</v>
      </c>
      <c r="AO17" s="345">
        <f t="shared" si="10"/>
        <v>0</v>
      </c>
      <c r="AP17" s="350">
        <f t="shared" si="11"/>
        <v>0</v>
      </c>
      <c r="AQ17" s="348">
        <f t="shared" si="12"/>
        <v>0.1125</v>
      </c>
      <c r="AR17" s="348">
        <f t="shared" si="13"/>
        <v>0</v>
      </c>
      <c r="AS17" s="348">
        <f t="shared" si="14"/>
        <v>0</v>
      </c>
      <c r="AT17" s="458">
        <v>1</v>
      </c>
      <c r="AU17" s="459">
        <f t="shared" si="15"/>
        <v>45</v>
      </c>
      <c r="AV17" s="448"/>
      <c r="AW17" s="813">
        <v>19</v>
      </c>
      <c r="AX17" s="449">
        <v>2</v>
      </c>
      <c r="AY17" s="431"/>
      <c r="AZ17" s="431">
        <v>2</v>
      </c>
      <c r="BA17" s="431"/>
      <c r="BB17" s="442" t="s">
        <v>290</v>
      </c>
      <c r="BC17" s="810">
        <f t="shared" si="16"/>
        <v>1</v>
      </c>
      <c r="BD17" s="348">
        <f t="shared" si="17"/>
        <v>45</v>
      </c>
      <c r="BE17" s="351">
        <f t="shared" si="18"/>
        <v>0.11111111111111116</v>
      </c>
      <c r="BF17" s="348">
        <f t="shared" si="19"/>
        <v>5.0000000000000018</v>
      </c>
      <c r="BG17" s="351">
        <f t="shared" si="20"/>
        <v>0.88888888888888884</v>
      </c>
      <c r="BH17" s="348">
        <f t="shared" si="21"/>
        <v>40</v>
      </c>
      <c r="BI17" s="447">
        <v>0</v>
      </c>
      <c r="BJ17" s="463">
        <v>1</v>
      </c>
      <c r="BK17" s="352">
        <f t="shared" si="22"/>
        <v>45</v>
      </c>
      <c r="BL17" s="353">
        <f t="shared" si="23"/>
        <v>0.25</v>
      </c>
      <c r="BM17" s="431">
        <v>2</v>
      </c>
      <c r="BN17" s="431" t="s">
        <v>290</v>
      </c>
      <c r="BO17" s="351">
        <f t="shared" si="24"/>
        <v>1</v>
      </c>
      <c r="BP17" s="348">
        <f t="shared" si="25"/>
        <v>45</v>
      </c>
      <c r="BQ17" s="353">
        <f t="shared" si="26"/>
        <v>0</v>
      </c>
      <c r="BR17" s="458">
        <v>1</v>
      </c>
      <c r="BS17" s="348">
        <f t="shared" si="27"/>
        <v>45</v>
      </c>
      <c r="BT17" s="447">
        <v>5</v>
      </c>
      <c r="BU17" s="351">
        <f t="shared" si="28"/>
        <v>1</v>
      </c>
      <c r="BV17" s="353">
        <f t="shared" si="29"/>
        <v>0</v>
      </c>
      <c r="BW17" s="451">
        <v>1</v>
      </c>
      <c r="BX17" s="473"/>
      <c r="BY17" s="475">
        <v>41780</v>
      </c>
      <c r="BZ17" s="663" t="s">
        <v>819</v>
      </c>
      <c r="CA17" s="666">
        <v>0</v>
      </c>
      <c r="CB17" s="354" t="str">
        <f t="shared" si="30"/>
        <v>To be realised</v>
      </c>
      <c r="CC17" s="431">
        <v>43</v>
      </c>
      <c r="CD17" s="431">
        <v>10</v>
      </c>
      <c r="CE17" s="355">
        <f t="shared" si="31"/>
        <v>0</v>
      </c>
      <c r="CF17" s="356">
        <f t="shared" si="32"/>
        <v>1</v>
      </c>
      <c r="CG17" s="348">
        <f t="shared" si="33"/>
        <v>45</v>
      </c>
      <c r="CH17" s="370">
        <f t="shared" si="34"/>
        <v>11</v>
      </c>
      <c r="CI17" s="441"/>
      <c r="CJ17" s="453">
        <v>0</v>
      </c>
      <c r="CK17" s="372">
        <f t="shared" si="35"/>
        <v>0</v>
      </c>
      <c r="CL17" s="441">
        <v>4</v>
      </c>
      <c r="CM17" s="357" t="str">
        <f t="shared" si="36"/>
        <v>Excellent coverage</v>
      </c>
      <c r="CN17" s="447">
        <v>0</v>
      </c>
      <c r="CO17" s="754" t="s">
        <v>65</v>
      </c>
      <c r="CP17" s="482"/>
    </row>
    <row r="18" spans="2:94" s="36" customFormat="1" ht="30.75" customHeight="1" x14ac:dyDescent="0.2">
      <c r="B18" s="438" t="s">
        <v>104</v>
      </c>
      <c r="C18" s="430" t="s">
        <v>510</v>
      </c>
      <c r="D18" s="430" t="s">
        <v>313</v>
      </c>
      <c r="E18" s="430" t="s">
        <v>105</v>
      </c>
      <c r="F18" s="430">
        <v>98.131264999999999</v>
      </c>
      <c r="G18" s="430">
        <v>25.885922999999998</v>
      </c>
      <c r="H18" s="430" t="s">
        <v>442</v>
      </c>
      <c r="I18" s="430" t="s">
        <v>213</v>
      </c>
      <c r="J18" s="430" t="s">
        <v>812</v>
      </c>
      <c r="K18" s="430" t="s">
        <v>800</v>
      </c>
      <c r="L18" s="721">
        <v>105</v>
      </c>
      <c r="M18" s="721">
        <v>323</v>
      </c>
      <c r="N18" s="431">
        <v>459</v>
      </c>
      <c r="O18" s="660">
        <v>552</v>
      </c>
      <c r="P18" s="796" t="str">
        <f t="shared" si="0"/>
        <v>2. Medium</v>
      </c>
      <c r="Q18" s="797" t="s">
        <v>938</v>
      </c>
      <c r="R18" s="432" t="s">
        <v>275</v>
      </c>
      <c r="S18" s="793" t="s">
        <v>299</v>
      </c>
      <c r="T18" s="365" t="str">
        <f t="shared" si="1"/>
        <v>Not covered</v>
      </c>
      <c r="U18" s="437" t="s">
        <v>619</v>
      </c>
      <c r="V18" s="783" t="s">
        <v>254</v>
      </c>
      <c r="W18" s="363" t="str">
        <f t="shared" si="2"/>
        <v>Not documented</v>
      </c>
      <c r="X18" s="441">
        <v>0</v>
      </c>
      <c r="Y18" s="431">
        <v>0</v>
      </c>
      <c r="Z18" s="660"/>
      <c r="AA18" s="442" t="s">
        <v>19</v>
      </c>
      <c r="AB18" s="441">
        <v>0</v>
      </c>
      <c r="AC18" s="447">
        <v>0</v>
      </c>
      <c r="AD18" s="831">
        <v>12760</v>
      </c>
      <c r="AE18" s="454">
        <v>0</v>
      </c>
      <c r="AF18" s="463">
        <v>0</v>
      </c>
      <c r="AG18" s="455"/>
      <c r="AH18" s="368">
        <f t="shared" si="3"/>
        <v>1</v>
      </c>
      <c r="AI18" s="346">
        <f t="shared" si="4"/>
        <v>552</v>
      </c>
      <c r="AJ18" s="347">
        <f t="shared" si="5"/>
        <v>1</v>
      </c>
      <c r="AK18" s="348">
        <f t="shared" si="6"/>
        <v>552</v>
      </c>
      <c r="AL18" s="345">
        <f t="shared" si="7"/>
        <v>1</v>
      </c>
      <c r="AM18" s="348">
        <f t="shared" si="8"/>
        <v>552</v>
      </c>
      <c r="AN18" s="349" t="str">
        <f t="shared" si="9"/>
        <v>80-100%</v>
      </c>
      <c r="AO18" s="345">
        <f t="shared" si="10"/>
        <v>0</v>
      </c>
      <c r="AP18" s="350">
        <f t="shared" si="11"/>
        <v>0</v>
      </c>
      <c r="AQ18" s="348">
        <f t="shared" si="12"/>
        <v>1.38</v>
      </c>
      <c r="AR18" s="348">
        <f t="shared" si="13"/>
        <v>0</v>
      </c>
      <c r="AS18" s="348">
        <f t="shared" si="14"/>
        <v>0</v>
      </c>
      <c r="AT18" s="458">
        <v>1</v>
      </c>
      <c r="AU18" s="459">
        <f t="shared" si="15"/>
        <v>552</v>
      </c>
      <c r="AV18" s="460"/>
      <c r="AW18" s="813">
        <v>42</v>
      </c>
      <c r="AX18" s="449">
        <v>11</v>
      </c>
      <c r="AY18" s="431"/>
      <c r="AZ18" s="431">
        <v>13</v>
      </c>
      <c r="BA18" s="431" t="s">
        <v>888</v>
      </c>
      <c r="BB18" s="442" t="s">
        <v>289</v>
      </c>
      <c r="BC18" s="810">
        <f t="shared" si="16"/>
        <v>0.86956521739130432</v>
      </c>
      <c r="BD18" s="348">
        <f t="shared" si="17"/>
        <v>480</v>
      </c>
      <c r="BE18" s="351">
        <f t="shared" si="18"/>
        <v>0.39855072463768115</v>
      </c>
      <c r="BF18" s="348">
        <f t="shared" si="19"/>
        <v>220</v>
      </c>
      <c r="BG18" s="351">
        <f t="shared" si="20"/>
        <v>0.47101449275362317</v>
      </c>
      <c r="BH18" s="348">
        <f t="shared" si="21"/>
        <v>260</v>
      </c>
      <c r="BI18" s="447">
        <v>0</v>
      </c>
      <c r="BJ18" s="463">
        <v>1</v>
      </c>
      <c r="BK18" s="352">
        <f t="shared" si="22"/>
        <v>552</v>
      </c>
      <c r="BL18" s="353">
        <f t="shared" si="23"/>
        <v>14.600000000000001</v>
      </c>
      <c r="BM18" s="431">
        <v>5</v>
      </c>
      <c r="BN18" s="431" t="s">
        <v>290</v>
      </c>
      <c r="BO18" s="351">
        <f t="shared" si="24"/>
        <v>0.90579710144927539</v>
      </c>
      <c r="BP18" s="348">
        <f t="shared" si="25"/>
        <v>500</v>
      </c>
      <c r="BQ18" s="353">
        <f t="shared" si="26"/>
        <v>0</v>
      </c>
      <c r="BR18" s="458">
        <v>1</v>
      </c>
      <c r="BS18" s="348">
        <f t="shared" si="27"/>
        <v>552</v>
      </c>
      <c r="BT18" s="447">
        <v>3</v>
      </c>
      <c r="BU18" s="351">
        <f t="shared" si="28"/>
        <v>0.54347826086956519</v>
      </c>
      <c r="BV18" s="353">
        <f t="shared" si="29"/>
        <v>0.22999999999999998</v>
      </c>
      <c r="BW18" s="451">
        <v>0.57999999999999996</v>
      </c>
      <c r="BX18" s="473"/>
      <c r="BY18" s="475">
        <v>42048</v>
      </c>
      <c r="BZ18" s="663" t="s">
        <v>821</v>
      </c>
      <c r="CA18" s="666"/>
      <c r="CB18" s="354" t="str">
        <f t="shared" si="30"/>
        <v>To be realised</v>
      </c>
      <c r="CC18" s="431">
        <v>105</v>
      </c>
      <c r="CD18" s="431">
        <v>7</v>
      </c>
      <c r="CE18" s="355">
        <f t="shared" si="31"/>
        <v>105</v>
      </c>
      <c r="CF18" s="356">
        <f t="shared" si="32"/>
        <v>0</v>
      </c>
      <c r="CG18" s="348">
        <f t="shared" si="33"/>
        <v>0</v>
      </c>
      <c r="CH18" s="370">
        <f t="shared" si="34"/>
        <v>5</v>
      </c>
      <c r="CI18" s="441"/>
      <c r="CJ18" s="453">
        <v>0</v>
      </c>
      <c r="CK18" s="372">
        <f t="shared" si="35"/>
        <v>0</v>
      </c>
      <c r="CL18" s="441">
        <v>2</v>
      </c>
      <c r="CM18" s="357" t="str">
        <f t="shared" si="36"/>
        <v>Excellent coverage</v>
      </c>
      <c r="CN18" s="447">
        <v>0</v>
      </c>
      <c r="CO18" s="754" t="s">
        <v>65</v>
      </c>
      <c r="CP18" s="482"/>
    </row>
    <row r="19" spans="2:94" s="36" customFormat="1" ht="30.75" customHeight="1" x14ac:dyDescent="0.2">
      <c r="B19" s="438" t="s">
        <v>104</v>
      </c>
      <c r="C19" s="430" t="s">
        <v>511</v>
      </c>
      <c r="D19" s="430" t="s">
        <v>313</v>
      </c>
      <c r="E19" s="430" t="s">
        <v>216</v>
      </c>
      <c r="F19" s="430">
        <v>98.475719999999995</v>
      </c>
      <c r="G19" s="430">
        <v>25.754110000000001</v>
      </c>
      <c r="H19" s="430" t="s">
        <v>442</v>
      </c>
      <c r="I19" s="430" t="s">
        <v>221</v>
      </c>
      <c r="J19" s="430" t="s">
        <v>814</v>
      </c>
      <c r="K19" s="430" t="s">
        <v>800</v>
      </c>
      <c r="L19" s="721">
        <v>153</v>
      </c>
      <c r="M19" s="721">
        <v>873</v>
      </c>
      <c r="N19" s="431">
        <v>820</v>
      </c>
      <c r="O19" s="660">
        <v>820</v>
      </c>
      <c r="P19" s="796" t="str">
        <f t="shared" si="0"/>
        <v>2. Medium</v>
      </c>
      <c r="Q19" s="797" t="s">
        <v>330</v>
      </c>
      <c r="R19" s="432" t="s">
        <v>234</v>
      </c>
      <c r="S19" s="793" t="s">
        <v>299</v>
      </c>
      <c r="T19" s="365" t="str">
        <f t="shared" si="1"/>
        <v>Not covered</v>
      </c>
      <c r="U19" s="437" t="s">
        <v>619</v>
      </c>
      <c r="V19" s="783" t="s">
        <v>254</v>
      </c>
      <c r="W19" s="363" t="str">
        <f t="shared" si="2"/>
        <v>Not documented</v>
      </c>
      <c r="X19" s="441">
        <v>0</v>
      </c>
      <c r="Y19" s="431">
        <v>36144</v>
      </c>
      <c r="Z19" s="660" t="s">
        <v>18</v>
      </c>
      <c r="AA19" s="442" t="s">
        <v>19</v>
      </c>
      <c r="AB19" s="441">
        <v>0</v>
      </c>
      <c r="AC19" s="447">
        <v>0</v>
      </c>
      <c r="AD19" s="831">
        <v>0</v>
      </c>
      <c r="AE19" s="454">
        <v>0</v>
      </c>
      <c r="AF19" s="463">
        <v>0</v>
      </c>
      <c r="AG19" s="455"/>
      <c r="AH19" s="368">
        <f t="shared" si="3"/>
        <v>9.7951219512195112E-2</v>
      </c>
      <c r="AI19" s="346">
        <f t="shared" si="4"/>
        <v>80.319999999999993</v>
      </c>
      <c r="AJ19" s="347">
        <f t="shared" si="5"/>
        <v>0</v>
      </c>
      <c r="AK19" s="348">
        <f t="shared" si="6"/>
        <v>0</v>
      </c>
      <c r="AL19" s="345">
        <f t="shared" si="7"/>
        <v>9.7951219512195112E-2</v>
      </c>
      <c r="AM19" s="348">
        <f t="shared" si="8"/>
        <v>80.319999999999993</v>
      </c>
      <c r="AN19" s="349" t="str">
        <f t="shared" si="9"/>
        <v>0-10%</v>
      </c>
      <c r="AO19" s="345">
        <f t="shared" si="10"/>
        <v>9.7951219512195112E-2</v>
      </c>
      <c r="AP19" s="350">
        <f t="shared" si="11"/>
        <v>80.319999999999993</v>
      </c>
      <c r="AQ19" s="348">
        <f t="shared" si="12"/>
        <v>2.0499999999999998</v>
      </c>
      <c r="AR19" s="348">
        <f t="shared" si="13"/>
        <v>0</v>
      </c>
      <c r="AS19" s="348">
        <f t="shared" si="14"/>
        <v>0</v>
      </c>
      <c r="AT19" s="458">
        <v>1</v>
      </c>
      <c r="AU19" s="459">
        <f t="shared" si="15"/>
        <v>820</v>
      </c>
      <c r="AV19" s="448" t="s">
        <v>939</v>
      </c>
      <c r="AW19" s="813">
        <v>5</v>
      </c>
      <c r="AX19" s="449">
        <v>44</v>
      </c>
      <c r="AY19" s="431">
        <v>44</v>
      </c>
      <c r="AZ19" s="431">
        <v>0</v>
      </c>
      <c r="BA19" s="431"/>
      <c r="BB19" s="442" t="s">
        <v>289</v>
      </c>
      <c r="BC19" s="810">
        <f t="shared" si="16"/>
        <v>1</v>
      </c>
      <c r="BD19" s="348">
        <f t="shared" si="17"/>
        <v>820</v>
      </c>
      <c r="BE19" s="351">
        <f t="shared" si="18"/>
        <v>1</v>
      </c>
      <c r="BF19" s="348">
        <f t="shared" si="19"/>
        <v>820</v>
      </c>
      <c r="BG19" s="351">
        <f t="shared" si="20"/>
        <v>0</v>
      </c>
      <c r="BH19" s="348">
        <f t="shared" si="21"/>
        <v>0</v>
      </c>
      <c r="BI19" s="447">
        <v>0</v>
      </c>
      <c r="BJ19" s="463">
        <v>1</v>
      </c>
      <c r="BK19" s="352">
        <f t="shared" si="22"/>
        <v>820</v>
      </c>
      <c r="BL19" s="353">
        <f t="shared" si="23"/>
        <v>41</v>
      </c>
      <c r="BM19" s="431">
        <v>4</v>
      </c>
      <c r="BN19" s="431" t="s">
        <v>89</v>
      </c>
      <c r="BO19" s="351">
        <f t="shared" si="24"/>
        <v>0.48780487804878048</v>
      </c>
      <c r="BP19" s="348">
        <f t="shared" si="25"/>
        <v>400</v>
      </c>
      <c r="BQ19" s="353">
        <f t="shared" si="26"/>
        <v>4.7300000000000004</v>
      </c>
      <c r="BR19" s="458">
        <v>0.49</v>
      </c>
      <c r="BS19" s="348">
        <f t="shared" si="27"/>
        <v>401.8</v>
      </c>
      <c r="BT19" s="447">
        <v>0</v>
      </c>
      <c r="BU19" s="351">
        <f t="shared" si="28"/>
        <v>0</v>
      </c>
      <c r="BV19" s="353">
        <f t="shared" si="29"/>
        <v>8.73</v>
      </c>
      <c r="BW19" s="451">
        <v>0</v>
      </c>
      <c r="BX19" s="473" t="s">
        <v>835</v>
      </c>
      <c r="BY19" s="475">
        <v>42053</v>
      </c>
      <c r="BZ19" s="663" t="s">
        <v>819</v>
      </c>
      <c r="CA19" s="666"/>
      <c r="CB19" s="354" t="str">
        <f t="shared" si="30"/>
        <v>To be realised</v>
      </c>
      <c r="CC19" s="431">
        <v>155</v>
      </c>
      <c r="CD19" s="431">
        <v>4</v>
      </c>
      <c r="CE19" s="355">
        <f t="shared" si="31"/>
        <v>153</v>
      </c>
      <c r="CF19" s="356">
        <f t="shared" si="32"/>
        <v>0</v>
      </c>
      <c r="CG19" s="348">
        <f t="shared" si="33"/>
        <v>0</v>
      </c>
      <c r="CH19" s="370">
        <f t="shared" si="34"/>
        <v>8</v>
      </c>
      <c r="CI19" s="441"/>
      <c r="CJ19" s="453">
        <v>0</v>
      </c>
      <c r="CK19" s="372">
        <f t="shared" si="35"/>
        <v>0</v>
      </c>
      <c r="CL19" s="441">
        <v>2</v>
      </c>
      <c r="CM19" s="357" t="str">
        <f t="shared" si="36"/>
        <v>Excellent coverage</v>
      </c>
      <c r="CN19" s="447">
        <v>0</v>
      </c>
      <c r="CO19" s="754" t="s">
        <v>65</v>
      </c>
      <c r="CP19" s="482"/>
    </row>
    <row r="20" spans="2:94" s="36" customFormat="1" ht="30.75" customHeight="1" x14ac:dyDescent="0.2">
      <c r="B20" s="438" t="s">
        <v>104</v>
      </c>
      <c r="C20" s="430" t="s">
        <v>512</v>
      </c>
      <c r="D20" s="430" t="s">
        <v>313</v>
      </c>
      <c r="E20" s="430" t="s">
        <v>106</v>
      </c>
      <c r="F20" s="430"/>
      <c r="G20" s="430"/>
      <c r="H20" s="430" t="s">
        <v>442</v>
      </c>
      <c r="I20" s="430" t="s">
        <v>213</v>
      </c>
      <c r="J20" s="430" t="s">
        <v>812</v>
      </c>
      <c r="K20" s="430" t="s">
        <v>800</v>
      </c>
      <c r="L20" s="721">
        <v>147</v>
      </c>
      <c r="M20" s="721">
        <v>605</v>
      </c>
      <c r="N20" s="431">
        <v>426</v>
      </c>
      <c r="O20" s="660">
        <v>649</v>
      </c>
      <c r="P20" s="796" t="str">
        <f t="shared" si="0"/>
        <v>2. Medium</v>
      </c>
      <c r="Q20" s="797" t="s">
        <v>938</v>
      </c>
      <c r="R20" s="432" t="s">
        <v>275</v>
      </c>
      <c r="S20" s="793" t="s">
        <v>299</v>
      </c>
      <c r="T20" s="365" t="str">
        <f t="shared" si="1"/>
        <v>Not covered</v>
      </c>
      <c r="U20" s="437" t="s">
        <v>619</v>
      </c>
      <c r="V20" s="783" t="s">
        <v>254</v>
      </c>
      <c r="W20" s="363" t="str">
        <f t="shared" si="2"/>
        <v>Not documented</v>
      </c>
      <c r="X20" s="441">
        <v>0</v>
      </c>
      <c r="Y20" s="431">
        <v>0</v>
      </c>
      <c r="Z20" s="660"/>
      <c r="AA20" s="442" t="s">
        <v>19</v>
      </c>
      <c r="AB20" s="441">
        <v>0</v>
      </c>
      <c r="AC20" s="447">
        <v>0</v>
      </c>
      <c r="AD20" s="831">
        <v>12760</v>
      </c>
      <c r="AE20" s="454">
        <v>0</v>
      </c>
      <c r="AF20" s="463">
        <v>0</v>
      </c>
      <c r="AG20" s="455"/>
      <c r="AH20" s="368">
        <f t="shared" si="3"/>
        <v>1</v>
      </c>
      <c r="AI20" s="346">
        <f t="shared" si="4"/>
        <v>649</v>
      </c>
      <c r="AJ20" s="347">
        <f t="shared" si="5"/>
        <v>1</v>
      </c>
      <c r="AK20" s="348">
        <f t="shared" si="6"/>
        <v>649</v>
      </c>
      <c r="AL20" s="345">
        <f t="shared" si="7"/>
        <v>1</v>
      </c>
      <c r="AM20" s="348">
        <f t="shared" si="8"/>
        <v>649</v>
      </c>
      <c r="AN20" s="349" t="str">
        <f t="shared" si="9"/>
        <v>80-100%</v>
      </c>
      <c r="AO20" s="345">
        <f t="shared" si="10"/>
        <v>0</v>
      </c>
      <c r="AP20" s="350">
        <f t="shared" si="11"/>
        <v>0</v>
      </c>
      <c r="AQ20" s="348">
        <f t="shared" si="12"/>
        <v>1.6225000000000001</v>
      </c>
      <c r="AR20" s="348">
        <f t="shared" si="13"/>
        <v>0</v>
      </c>
      <c r="AS20" s="348">
        <f t="shared" si="14"/>
        <v>0</v>
      </c>
      <c r="AT20" s="458">
        <v>1</v>
      </c>
      <c r="AU20" s="459">
        <f t="shared" si="15"/>
        <v>649</v>
      </c>
      <c r="AV20" s="448"/>
      <c r="AW20" s="813">
        <v>8</v>
      </c>
      <c r="AX20" s="449">
        <v>3</v>
      </c>
      <c r="AY20" s="431"/>
      <c r="AZ20" s="431">
        <v>26</v>
      </c>
      <c r="BA20" s="431" t="s">
        <v>888</v>
      </c>
      <c r="BB20" s="442" t="s">
        <v>289</v>
      </c>
      <c r="BC20" s="810">
        <f t="shared" si="16"/>
        <v>0.89368258859784289</v>
      </c>
      <c r="BD20" s="348">
        <f t="shared" si="17"/>
        <v>580</v>
      </c>
      <c r="BE20" s="351">
        <f t="shared" si="18"/>
        <v>9.2449922958397601E-2</v>
      </c>
      <c r="BF20" s="348">
        <f t="shared" si="19"/>
        <v>60.000000000000043</v>
      </c>
      <c r="BG20" s="351">
        <f t="shared" si="20"/>
        <v>0.80123266563944529</v>
      </c>
      <c r="BH20" s="348">
        <f t="shared" si="21"/>
        <v>520</v>
      </c>
      <c r="BI20" s="447">
        <v>0</v>
      </c>
      <c r="BJ20" s="463">
        <v>1</v>
      </c>
      <c r="BK20" s="352">
        <f t="shared" si="22"/>
        <v>649</v>
      </c>
      <c r="BL20" s="353">
        <f t="shared" si="23"/>
        <v>6.4500000000000028</v>
      </c>
      <c r="BM20" s="431">
        <v>8</v>
      </c>
      <c r="BN20" s="431" t="s">
        <v>290</v>
      </c>
      <c r="BO20" s="351">
        <f t="shared" si="24"/>
        <v>1</v>
      </c>
      <c r="BP20" s="348">
        <f t="shared" si="25"/>
        <v>649</v>
      </c>
      <c r="BQ20" s="353">
        <f t="shared" si="26"/>
        <v>0</v>
      </c>
      <c r="BR20" s="458">
        <v>1</v>
      </c>
      <c r="BS20" s="348">
        <f t="shared" si="27"/>
        <v>649</v>
      </c>
      <c r="BT20" s="447">
        <v>8</v>
      </c>
      <c r="BU20" s="351">
        <f t="shared" si="28"/>
        <v>1</v>
      </c>
      <c r="BV20" s="353">
        <f t="shared" si="29"/>
        <v>0</v>
      </c>
      <c r="BW20" s="451">
        <v>1</v>
      </c>
      <c r="BX20" s="473"/>
      <c r="BY20" s="475">
        <v>42048</v>
      </c>
      <c r="BZ20" s="663" t="s">
        <v>821</v>
      </c>
      <c r="CA20" s="666"/>
      <c r="CB20" s="354" t="str">
        <f t="shared" si="30"/>
        <v>To be realised</v>
      </c>
      <c r="CC20" s="431">
        <v>147</v>
      </c>
      <c r="CD20" s="431">
        <v>7</v>
      </c>
      <c r="CE20" s="355">
        <f t="shared" si="31"/>
        <v>147</v>
      </c>
      <c r="CF20" s="356">
        <f t="shared" si="32"/>
        <v>0</v>
      </c>
      <c r="CG20" s="348">
        <f t="shared" si="33"/>
        <v>0</v>
      </c>
      <c r="CH20" s="370">
        <f t="shared" si="34"/>
        <v>5</v>
      </c>
      <c r="CI20" s="441"/>
      <c r="CJ20" s="453">
        <v>0</v>
      </c>
      <c r="CK20" s="372">
        <f t="shared" si="35"/>
        <v>0</v>
      </c>
      <c r="CL20" s="441">
        <v>2</v>
      </c>
      <c r="CM20" s="357" t="str">
        <f t="shared" si="36"/>
        <v>Excellent coverage</v>
      </c>
      <c r="CN20" s="447">
        <v>0</v>
      </c>
      <c r="CO20" s="754" t="s">
        <v>65</v>
      </c>
      <c r="CP20" s="482"/>
    </row>
    <row r="21" spans="2:94" s="36" customFormat="1" ht="30.75" customHeight="1" x14ac:dyDescent="0.2">
      <c r="B21" s="438" t="s">
        <v>104</v>
      </c>
      <c r="C21" s="430" t="s">
        <v>513</v>
      </c>
      <c r="D21" s="430" t="s">
        <v>313</v>
      </c>
      <c r="E21" s="430" t="s">
        <v>282</v>
      </c>
      <c r="F21" s="430">
        <v>98.376824999999997</v>
      </c>
      <c r="G21" s="430">
        <v>25.598251999999999</v>
      </c>
      <c r="H21" s="430" t="s">
        <v>442</v>
      </c>
      <c r="I21" s="430" t="s">
        <v>213</v>
      </c>
      <c r="J21" s="430" t="s">
        <v>813</v>
      </c>
      <c r="K21" s="430" t="s">
        <v>800</v>
      </c>
      <c r="L21" s="721">
        <v>63</v>
      </c>
      <c r="M21" s="721">
        <v>307</v>
      </c>
      <c r="N21" s="431">
        <v>323</v>
      </c>
      <c r="O21" s="660">
        <v>323</v>
      </c>
      <c r="P21" s="796" t="str">
        <f t="shared" si="0"/>
        <v>2. Medium</v>
      </c>
      <c r="Q21" s="797" t="s">
        <v>828</v>
      </c>
      <c r="R21" s="432" t="s">
        <v>230</v>
      </c>
      <c r="S21" s="793" t="s">
        <v>230</v>
      </c>
      <c r="T21" s="365" t="str">
        <f t="shared" si="1"/>
        <v>Covered</v>
      </c>
      <c r="U21" s="437">
        <v>42735</v>
      </c>
      <c r="V21" s="784" t="s">
        <v>252</v>
      </c>
      <c r="W21" s="363" t="str">
        <f t="shared" si="2"/>
        <v>Documented</v>
      </c>
      <c r="X21" s="441">
        <v>0</v>
      </c>
      <c r="Y21" s="431">
        <v>0</v>
      </c>
      <c r="Z21" s="660" t="s">
        <v>19</v>
      </c>
      <c r="AA21" s="442" t="s">
        <v>19</v>
      </c>
      <c r="AB21" s="441">
        <v>0</v>
      </c>
      <c r="AC21" s="447">
        <v>0</v>
      </c>
      <c r="AD21" s="831">
        <v>20250</v>
      </c>
      <c r="AE21" s="454">
        <v>0</v>
      </c>
      <c r="AF21" s="463">
        <v>1</v>
      </c>
      <c r="AG21" s="455"/>
      <c r="AH21" s="368">
        <f t="shared" si="3"/>
        <v>1</v>
      </c>
      <c r="AI21" s="346">
        <f t="shared" si="4"/>
        <v>323</v>
      </c>
      <c r="AJ21" s="347">
        <f t="shared" si="5"/>
        <v>1</v>
      </c>
      <c r="AK21" s="348">
        <f t="shared" si="6"/>
        <v>323</v>
      </c>
      <c r="AL21" s="345">
        <f t="shared" si="7"/>
        <v>1</v>
      </c>
      <c r="AM21" s="348">
        <f t="shared" si="8"/>
        <v>323</v>
      </c>
      <c r="AN21" s="349" t="str">
        <f t="shared" si="9"/>
        <v>80-100%</v>
      </c>
      <c r="AO21" s="345">
        <f t="shared" si="10"/>
        <v>0</v>
      </c>
      <c r="AP21" s="350">
        <f t="shared" si="11"/>
        <v>0</v>
      </c>
      <c r="AQ21" s="348">
        <f t="shared" si="12"/>
        <v>0.8075</v>
      </c>
      <c r="AR21" s="348">
        <f t="shared" si="13"/>
        <v>63</v>
      </c>
      <c r="AS21" s="348">
        <f t="shared" si="14"/>
        <v>0</v>
      </c>
      <c r="AT21" s="458">
        <v>1</v>
      </c>
      <c r="AU21" s="459">
        <f t="shared" si="15"/>
        <v>323</v>
      </c>
      <c r="AV21" s="448"/>
      <c r="AW21" s="813">
        <v>8</v>
      </c>
      <c r="AX21" s="449">
        <v>0</v>
      </c>
      <c r="AY21" s="431"/>
      <c r="AZ21" s="431">
        <v>16</v>
      </c>
      <c r="BA21" s="431" t="s">
        <v>888</v>
      </c>
      <c r="BB21" s="442" t="s">
        <v>290</v>
      </c>
      <c r="BC21" s="810">
        <f t="shared" si="16"/>
        <v>0.99071207430340558</v>
      </c>
      <c r="BD21" s="348">
        <f t="shared" si="17"/>
        <v>320</v>
      </c>
      <c r="BE21" s="351">
        <f t="shared" si="18"/>
        <v>0</v>
      </c>
      <c r="BF21" s="348">
        <f t="shared" si="19"/>
        <v>0</v>
      </c>
      <c r="BG21" s="351">
        <f t="shared" si="20"/>
        <v>0.99071207430340558</v>
      </c>
      <c r="BH21" s="348">
        <f t="shared" si="21"/>
        <v>320</v>
      </c>
      <c r="BI21" s="447">
        <v>0</v>
      </c>
      <c r="BJ21" s="463">
        <v>1</v>
      </c>
      <c r="BK21" s="352">
        <f t="shared" si="22"/>
        <v>323</v>
      </c>
      <c r="BL21" s="353">
        <f t="shared" si="23"/>
        <v>0.14999999999999858</v>
      </c>
      <c r="BM21" s="431">
        <v>2</v>
      </c>
      <c r="BN21" s="431" t="s">
        <v>290</v>
      </c>
      <c r="BO21" s="351">
        <f t="shared" si="24"/>
        <v>0.61919504643962853</v>
      </c>
      <c r="BP21" s="348">
        <f t="shared" si="25"/>
        <v>200</v>
      </c>
      <c r="BQ21" s="353">
        <f t="shared" si="26"/>
        <v>1.0699999999999998</v>
      </c>
      <c r="BR21" s="458">
        <v>0.62</v>
      </c>
      <c r="BS21" s="348">
        <f t="shared" si="27"/>
        <v>200.26</v>
      </c>
      <c r="BT21" s="447">
        <v>2</v>
      </c>
      <c r="BU21" s="351">
        <f t="shared" si="28"/>
        <v>0.61919504643962853</v>
      </c>
      <c r="BV21" s="353">
        <f t="shared" si="29"/>
        <v>1.0699999999999998</v>
      </c>
      <c r="BW21" s="451">
        <v>0.62</v>
      </c>
      <c r="BX21" s="473"/>
      <c r="BY21" s="475">
        <v>42341</v>
      </c>
      <c r="BZ21" s="663" t="s">
        <v>821</v>
      </c>
      <c r="CA21" s="666">
        <v>0</v>
      </c>
      <c r="CB21" s="354">
        <f t="shared" si="30"/>
        <v>42706</v>
      </c>
      <c r="CC21" s="431">
        <v>68</v>
      </c>
      <c r="CD21" s="431">
        <v>10</v>
      </c>
      <c r="CE21" s="355">
        <f t="shared" si="31"/>
        <v>0</v>
      </c>
      <c r="CF21" s="356">
        <f t="shared" si="32"/>
        <v>1</v>
      </c>
      <c r="CG21" s="348">
        <f t="shared" si="33"/>
        <v>323</v>
      </c>
      <c r="CH21" s="370">
        <f t="shared" si="34"/>
        <v>0</v>
      </c>
      <c r="CI21" s="441"/>
      <c r="CJ21" s="451">
        <v>1</v>
      </c>
      <c r="CK21" s="372">
        <f t="shared" si="35"/>
        <v>323</v>
      </c>
      <c r="CL21" s="441">
        <v>4</v>
      </c>
      <c r="CM21" s="357" t="str">
        <f t="shared" si="36"/>
        <v>Excellent coverage</v>
      </c>
      <c r="CN21" s="447">
        <v>0</v>
      </c>
      <c r="CO21" s="754" t="s">
        <v>292</v>
      </c>
      <c r="CP21" s="482"/>
    </row>
    <row r="22" spans="2:94" s="36" customFormat="1" ht="30.75" customHeight="1" x14ac:dyDescent="0.2">
      <c r="B22" s="438" t="s">
        <v>104</v>
      </c>
      <c r="C22" s="430" t="s">
        <v>717</v>
      </c>
      <c r="D22" s="430" t="s">
        <v>313</v>
      </c>
      <c r="E22" s="430" t="s">
        <v>718</v>
      </c>
      <c r="F22" s="430">
        <v>98.356405555555497</v>
      </c>
      <c r="G22" s="430">
        <v>25.645869444444401</v>
      </c>
      <c r="H22" s="430" t="s">
        <v>442</v>
      </c>
      <c r="I22" s="430" t="s">
        <v>213</v>
      </c>
      <c r="J22" s="430" t="s">
        <v>813</v>
      </c>
      <c r="K22" s="430" t="s">
        <v>800</v>
      </c>
      <c r="L22" s="721">
        <v>30</v>
      </c>
      <c r="M22" s="721">
        <v>181</v>
      </c>
      <c r="N22" s="431">
        <v>165</v>
      </c>
      <c r="O22" s="660">
        <v>165</v>
      </c>
      <c r="P22" s="796" t="str">
        <f t="shared" si="0"/>
        <v>1. Small</v>
      </c>
      <c r="Q22" s="797" t="s">
        <v>828</v>
      </c>
      <c r="R22" s="432" t="s">
        <v>230</v>
      </c>
      <c r="S22" s="793" t="s">
        <v>230</v>
      </c>
      <c r="T22" s="365" t="str">
        <f t="shared" si="1"/>
        <v>Covered</v>
      </c>
      <c r="U22" s="437">
        <v>42735</v>
      </c>
      <c r="V22" s="784" t="s">
        <v>252</v>
      </c>
      <c r="W22" s="363" t="str">
        <f t="shared" si="2"/>
        <v>Documented</v>
      </c>
      <c r="X22" s="441">
        <v>0</v>
      </c>
      <c r="Y22" s="431">
        <v>0</v>
      </c>
      <c r="Z22" s="660" t="s">
        <v>19</v>
      </c>
      <c r="AA22" s="442" t="s">
        <v>19</v>
      </c>
      <c r="AB22" s="441">
        <v>0</v>
      </c>
      <c r="AC22" s="447">
        <v>0</v>
      </c>
      <c r="AD22" s="831">
        <v>3200</v>
      </c>
      <c r="AE22" s="454">
        <v>0</v>
      </c>
      <c r="AF22" s="463">
        <v>1</v>
      </c>
      <c r="AG22" s="455"/>
      <c r="AH22" s="368">
        <f t="shared" si="3"/>
        <v>1</v>
      </c>
      <c r="AI22" s="346">
        <f t="shared" si="4"/>
        <v>165</v>
      </c>
      <c r="AJ22" s="347">
        <f t="shared" si="5"/>
        <v>1</v>
      </c>
      <c r="AK22" s="348">
        <f t="shared" si="6"/>
        <v>165</v>
      </c>
      <c r="AL22" s="345">
        <f t="shared" si="7"/>
        <v>1</v>
      </c>
      <c r="AM22" s="348">
        <f t="shared" si="8"/>
        <v>165</v>
      </c>
      <c r="AN22" s="349" t="str">
        <f t="shared" si="9"/>
        <v>80-100%</v>
      </c>
      <c r="AO22" s="345">
        <f t="shared" si="10"/>
        <v>0</v>
      </c>
      <c r="AP22" s="350">
        <f t="shared" si="11"/>
        <v>0</v>
      </c>
      <c r="AQ22" s="348">
        <f t="shared" si="12"/>
        <v>0.41249999999999998</v>
      </c>
      <c r="AR22" s="348">
        <f t="shared" si="13"/>
        <v>30</v>
      </c>
      <c r="AS22" s="348">
        <f t="shared" si="14"/>
        <v>0</v>
      </c>
      <c r="AT22" s="458">
        <v>1</v>
      </c>
      <c r="AU22" s="459">
        <f t="shared" si="15"/>
        <v>165</v>
      </c>
      <c r="AV22" s="448"/>
      <c r="AW22" s="813">
        <v>10</v>
      </c>
      <c r="AX22" s="449">
        <v>4</v>
      </c>
      <c r="AY22" s="431"/>
      <c r="AZ22" s="431">
        <v>0</v>
      </c>
      <c r="BA22" s="431" t="s">
        <v>889</v>
      </c>
      <c r="BB22" s="442" t="s">
        <v>290</v>
      </c>
      <c r="BC22" s="810">
        <f t="shared" si="16"/>
        <v>0.48484848484848486</v>
      </c>
      <c r="BD22" s="348">
        <f t="shared" si="17"/>
        <v>80</v>
      </c>
      <c r="BE22" s="351">
        <f t="shared" si="18"/>
        <v>0.48484848484848486</v>
      </c>
      <c r="BF22" s="348">
        <f t="shared" si="19"/>
        <v>80</v>
      </c>
      <c r="BG22" s="351">
        <f t="shared" si="20"/>
        <v>0</v>
      </c>
      <c r="BH22" s="348">
        <f t="shared" si="21"/>
        <v>0</v>
      </c>
      <c r="BI22" s="447">
        <v>0</v>
      </c>
      <c r="BJ22" s="463">
        <v>0.48</v>
      </c>
      <c r="BK22" s="352">
        <f t="shared" si="22"/>
        <v>79.2</v>
      </c>
      <c r="BL22" s="353">
        <f t="shared" si="23"/>
        <v>8.25</v>
      </c>
      <c r="BM22" s="431">
        <v>0</v>
      </c>
      <c r="BN22" s="431" t="s">
        <v>89</v>
      </c>
      <c r="BO22" s="351">
        <f t="shared" si="24"/>
        <v>0</v>
      </c>
      <c r="BP22" s="348">
        <f t="shared" si="25"/>
        <v>0</v>
      </c>
      <c r="BQ22" s="353">
        <f t="shared" si="26"/>
        <v>1.81</v>
      </c>
      <c r="BR22" s="458">
        <v>0</v>
      </c>
      <c r="BS22" s="348">
        <f t="shared" si="27"/>
        <v>0</v>
      </c>
      <c r="BT22" s="447">
        <v>0</v>
      </c>
      <c r="BU22" s="351">
        <f t="shared" si="28"/>
        <v>0</v>
      </c>
      <c r="BV22" s="353">
        <f t="shared" si="29"/>
        <v>1.81</v>
      </c>
      <c r="BW22" s="451">
        <v>0</v>
      </c>
      <c r="BX22" s="473"/>
      <c r="BY22" s="475">
        <v>42341</v>
      </c>
      <c r="BZ22" s="663" t="s">
        <v>821</v>
      </c>
      <c r="CA22" s="666">
        <v>0</v>
      </c>
      <c r="CB22" s="354">
        <f t="shared" si="30"/>
        <v>42706</v>
      </c>
      <c r="CC22" s="431">
        <v>30</v>
      </c>
      <c r="CD22" s="431">
        <v>10</v>
      </c>
      <c r="CE22" s="355">
        <f t="shared" si="31"/>
        <v>0</v>
      </c>
      <c r="CF22" s="356">
        <f t="shared" si="32"/>
        <v>1</v>
      </c>
      <c r="CG22" s="348">
        <f t="shared" si="33"/>
        <v>165</v>
      </c>
      <c r="CH22" s="370">
        <f t="shared" si="34"/>
        <v>0</v>
      </c>
      <c r="CI22" s="441"/>
      <c r="CJ22" s="451">
        <v>1</v>
      </c>
      <c r="CK22" s="372">
        <f t="shared" si="35"/>
        <v>165</v>
      </c>
      <c r="CL22" s="441">
        <v>4</v>
      </c>
      <c r="CM22" s="357" t="str">
        <f t="shared" si="36"/>
        <v>Excellent coverage</v>
      </c>
      <c r="CN22" s="447">
        <v>0</v>
      </c>
      <c r="CO22" s="754" t="s">
        <v>292</v>
      </c>
      <c r="CP22" s="482"/>
    </row>
    <row r="23" spans="2:94" s="36" customFormat="1" ht="30.75" customHeight="1" x14ac:dyDescent="0.2">
      <c r="B23" s="438" t="s">
        <v>107</v>
      </c>
      <c r="C23" s="430" t="s">
        <v>514</v>
      </c>
      <c r="D23" s="430" t="s">
        <v>256</v>
      </c>
      <c r="E23" s="430" t="s">
        <v>108</v>
      </c>
      <c r="F23" s="430">
        <v>96.355270000000004</v>
      </c>
      <c r="G23" s="430">
        <v>25.656130000000001</v>
      </c>
      <c r="H23" s="430" t="s">
        <v>442</v>
      </c>
      <c r="I23" s="430" t="s">
        <v>213</v>
      </c>
      <c r="J23" s="430" t="s">
        <v>813</v>
      </c>
      <c r="K23" s="430" t="s">
        <v>800</v>
      </c>
      <c r="L23" s="721">
        <v>77</v>
      </c>
      <c r="M23" s="721">
        <v>357</v>
      </c>
      <c r="N23" s="431">
        <v>350</v>
      </c>
      <c r="O23" s="660">
        <v>380</v>
      </c>
      <c r="P23" s="796" t="str">
        <f t="shared" si="0"/>
        <v>2. Medium</v>
      </c>
      <c r="Q23" s="797" t="s">
        <v>253</v>
      </c>
      <c r="R23" s="432" t="s">
        <v>275</v>
      </c>
      <c r="S23" s="793" t="s">
        <v>275</v>
      </c>
      <c r="T23" s="365" t="str">
        <f t="shared" si="1"/>
        <v>Covered</v>
      </c>
      <c r="U23" s="437">
        <v>42456</v>
      </c>
      <c r="V23" s="784" t="s">
        <v>252</v>
      </c>
      <c r="W23" s="363" t="str">
        <f t="shared" si="2"/>
        <v>Documented</v>
      </c>
      <c r="X23" s="441">
        <v>0</v>
      </c>
      <c r="Y23" s="431">
        <v>0</v>
      </c>
      <c r="Z23" s="660" t="s">
        <v>18</v>
      </c>
      <c r="AA23" s="442" t="s">
        <v>19</v>
      </c>
      <c r="AB23" s="441">
        <v>3</v>
      </c>
      <c r="AC23" s="447">
        <v>0</v>
      </c>
      <c r="AD23" s="831">
        <v>6000</v>
      </c>
      <c r="AE23" s="454">
        <v>0</v>
      </c>
      <c r="AF23" s="463">
        <v>0</v>
      </c>
      <c r="AG23" s="455"/>
      <c r="AH23" s="368">
        <f t="shared" si="3"/>
        <v>1</v>
      </c>
      <c r="AI23" s="346">
        <f t="shared" si="4"/>
        <v>380</v>
      </c>
      <c r="AJ23" s="347">
        <f t="shared" si="5"/>
        <v>1</v>
      </c>
      <c r="AK23" s="348">
        <f t="shared" si="6"/>
        <v>380</v>
      </c>
      <c r="AL23" s="345">
        <f t="shared" si="7"/>
        <v>1</v>
      </c>
      <c r="AM23" s="348">
        <f t="shared" si="8"/>
        <v>380</v>
      </c>
      <c r="AN23" s="349" t="str">
        <f t="shared" si="9"/>
        <v>80-100%</v>
      </c>
      <c r="AO23" s="345">
        <f t="shared" si="10"/>
        <v>0</v>
      </c>
      <c r="AP23" s="350">
        <f t="shared" si="11"/>
        <v>0</v>
      </c>
      <c r="AQ23" s="348">
        <f t="shared" si="12"/>
        <v>0</v>
      </c>
      <c r="AR23" s="348">
        <f t="shared" si="13"/>
        <v>0</v>
      </c>
      <c r="AS23" s="348">
        <f t="shared" si="14"/>
        <v>0</v>
      </c>
      <c r="AT23" s="458">
        <v>1</v>
      </c>
      <c r="AU23" s="459">
        <f t="shared" si="15"/>
        <v>380</v>
      </c>
      <c r="AV23" s="448"/>
      <c r="AW23" s="813">
        <v>6</v>
      </c>
      <c r="AX23" s="449">
        <v>0</v>
      </c>
      <c r="AY23" s="431"/>
      <c r="AZ23" s="431">
        <v>5</v>
      </c>
      <c r="BA23" s="431" t="s">
        <v>891</v>
      </c>
      <c r="BB23" s="442" t="s">
        <v>89</v>
      </c>
      <c r="BC23" s="810">
        <f t="shared" si="16"/>
        <v>0.26315789473684209</v>
      </c>
      <c r="BD23" s="348">
        <f t="shared" si="17"/>
        <v>100</v>
      </c>
      <c r="BE23" s="351">
        <f t="shared" si="18"/>
        <v>0</v>
      </c>
      <c r="BF23" s="348">
        <f t="shared" si="19"/>
        <v>0</v>
      </c>
      <c r="BG23" s="351">
        <f t="shared" si="20"/>
        <v>0.26315789473684209</v>
      </c>
      <c r="BH23" s="348">
        <f t="shared" si="21"/>
        <v>100</v>
      </c>
      <c r="BI23" s="447">
        <v>0</v>
      </c>
      <c r="BJ23" s="463">
        <v>0.27</v>
      </c>
      <c r="BK23" s="352">
        <f t="shared" si="22"/>
        <v>102.60000000000001</v>
      </c>
      <c r="BL23" s="353">
        <f t="shared" si="23"/>
        <v>14</v>
      </c>
      <c r="BM23" s="431">
        <v>1</v>
      </c>
      <c r="BN23" s="431" t="s">
        <v>291</v>
      </c>
      <c r="BO23" s="351">
        <f t="shared" si="24"/>
        <v>0.26315789473684209</v>
      </c>
      <c r="BP23" s="348">
        <f t="shared" si="25"/>
        <v>100</v>
      </c>
      <c r="BQ23" s="353">
        <f t="shared" si="26"/>
        <v>2.57</v>
      </c>
      <c r="BR23" s="458">
        <v>0.53</v>
      </c>
      <c r="BS23" s="348">
        <f t="shared" si="27"/>
        <v>201.4</v>
      </c>
      <c r="BT23" s="447">
        <v>1</v>
      </c>
      <c r="BU23" s="351">
        <f t="shared" si="28"/>
        <v>0.26315789473684209</v>
      </c>
      <c r="BV23" s="353">
        <f t="shared" si="29"/>
        <v>2.57</v>
      </c>
      <c r="BW23" s="451">
        <v>1</v>
      </c>
      <c r="BX23" s="473"/>
      <c r="BY23" s="475">
        <v>41695</v>
      </c>
      <c r="BZ23" s="663" t="s">
        <v>823</v>
      </c>
      <c r="CA23" s="666">
        <v>0.3</v>
      </c>
      <c r="CB23" s="354" t="str">
        <f t="shared" si="30"/>
        <v>To be realised</v>
      </c>
      <c r="CC23" s="431">
        <v>7</v>
      </c>
      <c r="CD23" s="431">
        <v>2</v>
      </c>
      <c r="CE23" s="355">
        <f t="shared" si="31"/>
        <v>77</v>
      </c>
      <c r="CF23" s="356">
        <f t="shared" si="32"/>
        <v>0</v>
      </c>
      <c r="CG23" s="348">
        <f t="shared" si="33"/>
        <v>0</v>
      </c>
      <c r="CH23" s="370">
        <f t="shared" si="34"/>
        <v>21</v>
      </c>
      <c r="CI23" s="441"/>
      <c r="CJ23" s="451">
        <v>0</v>
      </c>
      <c r="CK23" s="372">
        <f t="shared" si="35"/>
        <v>0</v>
      </c>
      <c r="CL23" s="441">
        <v>2</v>
      </c>
      <c r="CM23" s="357" t="str">
        <f t="shared" si="36"/>
        <v>Excellent coverage</v>
      </c>
      <c r="CN23" s="447">
        <v>0</v>
      </c>
      <c r="CO23" s="754" t="s">
        <v>65</v>
      </c>
      <c r="CP23" s="482" t="s">
        <v>867</v>
      </c>
    </row>
    <row r="24" spans="2:94" s="36" customFormat="1" ht="30.75" customHeight="1" x14ac:dyDescent="0.2">
      <c r="B24" s="438" t="s">
        <v>107</v>
      </c>
      <c r="C24" s="430" t="s">
        <v>515</v>
      </c>
      <c r="D24" s="430" t="s">
        <v>256</v>
      </c>
      <c r="E24" s="430" t="s">
        <v>109</v>
      </c>
      <c r="F24" s="430">
        <v>96.353070000000002</v>
      </c>
      <c r="G24" s="430">
        <v>25.655819999999999</v>
      </c>
      <c r="H24" s="430" t="s">
        <v>442</v>
      </c>
      <c r="I24" s="430" t="s">
        <v>213</v>
      </c>
      <c r="J24" s="430" t="s">
        <v>813</v>
      </c>
      <c r="K24" s="430" t="s">
        <v>800</v>
      </c>
      <c r="L24" s="721">
        <v>75</v>
      </c>
      <c r="M24" s="721">
        <v>404</v>
      </c>
      <c r="N24" s="431">
        <v>425</v>
      </c>
      <c r="O24" s="660">
        <v>425</v>
      </c>
      <c r="P24" s="796" t="str">
        <f t="shared" si="0"/>
        <v>2. Medium</v>
      </c>
      <c r="Q24" s="797" t="s">
        <v>828</v>
      </c>
      <c r="R24" s="432" t="s">
        <v>230</v>
      </c>
      <c r="S24" s="793" t="s">
        <v>230</v>
      </c>
      <c r="T24" s="365" t="str">
        <f t="shared" si="1"/>
        <v>Covered</v>
      </c>
      <c r="U24" s="437">
        <v>42735</v>
      </c>
      <c r="V24" s="784" t="s">
        <v>252</v>
      </c>
      <c r="W24" s="363" t="str">
        <f t="shared" si="2"/>
        <v>Documented</v>
      </c>
      <c r="X24" s="441">
        <v>0</v>
      </c>
      <c r="Y24" s="431">
        <v>0</v>
      </c>
      <c r="Z24" s="660" t="s">
        <v>19</v>
      </c>
      <c r="AA24" s="442" t="s">
        <v>19</v>
      </c>
      <c r="AB24" s="441">
        <v>2</v>
      </c>
      <c r="AC24" s="447">
        <v>0</v>
      </c>
      <c r="AD24" s="831">
        <v>3000</v>
      </c>
      <c r="AE24" s="454">
        <v>0</v>
      </c>
      <c r="AF24" s="463">
        <v>1</v>
      </c>
      <c r="AG24" s="455"/>
      <c r="AH24" s="368">
        <f t="shared" si="3"/>
        <v>1</v>
      </c>
      <c r="AI24" s="346">
        <f t="shared" si="4"/>
        <v>425</v>
      </c>
      <c r="AJ24" s="347">
        <f t="shared" si="5"/>
        <v>1</v>
      </c>
      <c r="AK24" s="348">
        <f t="shared" si="6"/>
        <v>425</v>
      </c>
      <c r="AL24" s="345">
        <f t="shared" si="7"/>
        <v>1</v>
      </c>
      <c r="AM24" s="348">
        <f t="shared" si="8"/>
        <v>425</v>
      </c>
      <c r="AN24" s="349" t="str">
        <f t="shared" si="9"/>
        <v>80-100%</v>
      </c>
      <c r="AO24" s="345">
        <f t="shared" si="10"/>
        <v>0</v>
      </c>
      <c r="AP24" s="350">
        <f t="shared" si="11"/>
        <v>0</v>
      </c>
      <c r="AQ24" s="348">
        <f t="shared" si="12"/>
        <v>0</v>
      </c>
      <c r="AR24" s="348">
        <f t="shared" si="13"/>
        <v>75</v>
      </c>
      <c r="AS24" s="348">
        <f t="shared" si="14"/>
        <v>0</v>
      </c>
      <c r="AT24" s="458">
        <v>1</v>
      </c>
      <c r="AU24" s="459">
        <f t="shared" si="15"/>
        <v>425</v>
      </c>
      <c r="AV24" s="448"/>
      <c r="AW24" s="813">
        <v>0</v>
      </c>
      <c r="AX24" s="449">
        <v>0</v>
      </c>
      <c r="AY24" s="431"/>
      <c r="AZ24" s="431">
        <v>10</v>
      </c>
      <c r="BA24" s="431" t="s">
        <v>889</v>
      </c>
      <c r="BB24" s="442" t="s">
        <v>290</v>
      </c>
      <c r="BC24" s="810">
        <f t="shared" si="16"/>
        <v>0.47058823529411764</v>
      </c>
      <c r="BD24" s="348">
        <f t="shared" si="17"/>
        <v>200</v>
      </c>
      <c r="BE24" s="351">
        <f t="shared" si="18"/>
        <v>0</v>
      </c>
      <c r="BF24" s="348">
        <f t="shared" si="19"/>
        <v>0</v>
      </c>
      <c r="BG24" s="351">
        <f t="shared" si="20"/>
        <v>0.47058823529411764</v>
      </c>
      <c r="BH24" s="348">
        <f t="shared" si="21"/>
        <v>200</v>
      </c>
      <c r="BI24" s="447">
        <v>0</v>
      </c>
      <c r="BJ24" s="463">
        <v>0.66</v>
      </c>
      <c r="BK24" s="352">
        <f t="shared" si="22"/>
        <v>280.5</v>
      </c>
      <c r="BL24" s="353">
        <f t="shared" si="23"/>
        <v>11.25</v>
      </c>
      <c r="BM24" s="431">
        <v>2</v>
      </c>
      <c r="BN24" s="431" t="s">
        <v>89</v>
      </c>
      <c r="BO24" s="351">
        <f t="shared" si="24"/>
        <v>0.47058823529411764</v>
      </c>
      <c r="BP24" s="348">
        <f t="shared" si="25"/>
        <v>200</v>
      </c>
      <c r="BQ24" s="353">
        <f t="shared" si="26"/>
        <v>2.04</v>
      </c>
      <c r="BR24" s="458">
        <v>0.48</v>
      </c>
      <c r="BS24" s="348">
        <f t="shared" si="27"/>
        <v>204</v>
      </c>
      <c r="BT24" s="447">
        <v>2</v>
      </c>
      <c r="BU24" s="351">
        <f t="shared" si="28"/>
        <v>0.47058823529411764</v>
      </c>
      <c r="BV24" s="353">
        <f t="shared" si="29"/>
        <v>2.04</v>
      </c>
      <c r="BW24" s="451">
        <v>0.48</v>
      </c>
      <c r="BX24" s="473"/>
      <c r="BY24" s="475">
        <v>41817</v>
      </c>
      <c r="BZ24" s="663" t="s">
        <v>821</v>
      </c>
      <c r="CA24" s="666">
        <v>0</v>
      </c>
      <c r="CB24" s="354" t="str">
        <f t="shared" si="30"/>
        <v>To be realised</v>
      </c>
      <c r="CC24" s="431">
        <v>83</v>
      </c>
      <c r="CD24" s="431">
        <v>2</v>
      </c>
      <c r="CE24" s="355">
        <f t="shared" si="31"/>
        <v>75</v>
      </c>
      <c r="CF24" s="356">
        <f t="shared" si="32"/>
        <v>0</v>
      </c>
      <c r="CG24" s="348">
        <f t="shared" si="33"/>
        <v>0</v>
      </c>
      <c r="CH24" s="370">
        <f t="shared" si="34"/>
        <v>17</v>
      </c>
      <c r="CI24" s="441"/>
      <c r="CJ24" s="451">
        <v>1</v>
      </c>
      <c r="CK24" s="372">
        <f t="shared" si="35"/>
        <v>425</v>
      </c>
      <c r="CL24" s="441">
        <v>4</v>
      </c>
      <c r="CM24" s="357" t="str">
        <f t="shared" si="36"/>
        <v>Excellent coverage</v>
      </c>
      <c r="CN24" s="447">
        <v>0</v>
      </c>
      <c r="CO24" s="754" t="s">
        <v>65</v>
      </c>
      <c r="CP24" s="482"/>
    </row>
    <row r="25" spans="2:94" s="36" customFormat="1" ht="30.75" customHeight="1" x14ac:dyDescent="0.2">
      <c r="B25" s="438" t="s">
        <v>107</v>
      </c>
      <c r="C25" s="430" t="s">
        <v>516</v>
      </c>
      <c r="D25" s="430" t="s">
        <v>256</v>
      </c>
      <c r="E25" s="430" t="s">
        <v>110</v>
      </c>
      <c r="F25" s="430">
        <v>96.345569999999995</v>
      </c>
      <c r="G25" s="430">
        <v>25.635300000000001</v>
      </c>
      <c r="H25" s="430" t="s">
        <v>442</v>
      </c>
      <c r="I25" s="430" t="s">
        <v>213</v>
      </c>
      <c r="J25" s="430" t="s">
        <v>813</v>
      </c>
      <c r="K25" s="430" t="s">
        <v>800</v>
      </c>
      <c r="L25" s="721">
        <v>67</v>
      </c>
      <c r="M25" s="721">
        <v>338</v>
      </c>
      <c r="N25" s="431">
        <v>351</v>
      </c>
      <c r="O25" s="660">
        <v>351</v>
      </c>
      <c r="P25" s="796" t="str">
        <f t="shared" si="0"/>
        <v>2. Medium</v>
      </c>
      <c r="Q25" s="797" t="s">
        <v>253</v>
      </c>
      <c r="R25" s="432" t="s">
        <v>275</v>
      </c>
      <c r="S25" s="793" t="s">
        <v>275</v>
      </c>
      <c r="T25" s="365" t="str">
        <f t="shared" si="1"/>
        <v>Covered</v>
      </c>
      <c r="U25" s="437">
        <v>42456</v>
      </c>
      <c r="V25" s="784" t="s">
        <v>252</v>
      </c>
      <c r="W25" s="363" t="str">
        <f t="shared" si="2"/>
        <v>Documented</v>
      </c>
      <c r="X25" s="441">
        <v>0</v>
      </c>
      <c r="Y25" s="431">
        <v>0</v>
      </c>
      <c r="Z25" s="660" t="s">
        <v>18</v>
      </c>
      <c r="AA25" s="442" t="s">
        <v>19</v>
      </c>
      <c r="AB25" s="441">
        <v>2</v>
      </c>
      <c r="AC25" s="447">
        <v>0</v>
      </c>
      <c r="AD25" s="831">
        <v>0</v>
      </c>
      <c r="AE25" s="454">
        <v>0</v>
      </c>
      <c r="AF25" s="463">
        <v>0</v>
      </c>
      <c r="AG25" s="455"/>
      <c r="AH25" s="368">
        <f t="shared" si="3"/>
        <v>1</v>
      </c>
      <c r="AI25" s="346">
        <f t="shared" si="4"/>
        <v>351</v>
      </c>
      <c r="AJ25" s="347">
        <f t="shared" si="5"/>
        <v>1</v>
      </c>
      <c r="AK25" s="348">
        <f t="shared" si="6"/>
        <v>351</v>
      </c>
      <c r="AL25" s="345">
        <f t="shared" si="7"/>
        <v>1</v>
      </c>
      <c r="AM25" s="348">
        <f t="shared" si="8"/>
        <v>351</v>
      </c>
      <c r="AN25" s="349" t="str">
        <f t="shared" si="9"/>
        <v>80-100%</v>
      </c>
      <c r="AO25" s="345">
        <f t="shared" si="10"/>
        <v>0</v>
      </c>
      <c r="AP25" s="350">
        <f t="shared" si="11"/>
        <v>0</v>
      </c>
      <c r="AQ25" s="348">
        <f t="shared" si="12"/>
        <v>0</v>
      </c>
      <c r="AR25" s="348">
        <f t="shared" si="13"/>
        <v>0</v>
      </c>
      <c r="AS25" s="348">
        <f t="shared" si="14"/>
        <v>0</v>
      </c>
      <c r="AT25" s="458">
        <v>1</v>
      </c>
      <c r="AU25" s="459">
        <f t="shared" si="15"/>
        <v>351</v>
      </c>
      <c r="AV25" s="448"/>
      <c r="AW25" s="813">
        <v>10</v>
      </c>
      <c r="AX25" s="449">
        <v>0</v>
      </c>
      <c r="AY25" s="431"/>
      <c r="AZ25" s="431">
        <v>15</v>
      </c>
      <c r="BA25" s="431" t="s">
        <v>888</v>
      </c>
      <c r="BB25" s="442" t="s">
        <v>89</v>
      </c>
      <c r="BC25" s="810">
        <f t="shared" si="16"/>
        <v>0.85470085470085466</v>
      </c>
      <c r="BD25" s="348">
        <f t="shared" si="17"/>
        <v>300</v>
      </c>
      <c r="BE25" s="351">
        <f t="shared" si="18"/>
        <v>0</v>
      </c>
      <c r="BF25" s="348">
        <f t="shared" si="19"/>
        <v>0</v>
      </c>
      <c r="BG25" s="351">
        <f t="shared" si="20"/>
        <v>0.85470085470085466</v>
      </c>
      <c r="BH25" s="348">
        <f t="shared" si="21"/>
        <v>300</v>
      </c>
      <c r="BI25" s="447">
        <v>0</v>
      </c>
      <c r="BJ25" s="463">
        <v>1</v>
      </c>
      <c r="BK25" s="352">
        <f t="shared" si="22"/>
        <v>351</v>
      </c>
      <c r="BL25" s="353">
        <f t="shared" si="23"/>
        <v>2.5500000000000007</v>
      </c>
      <c r="BM25" s="431">
        <v>1</v>
      </c>
      <c r="BN25" s="431" t="s">
        <v>290</v>
      </c>
      <c r="BO25" s="351">
        <f t="shared" si="24"/>
        <v>0.28490028490028491</v>
      </c>
      <c r="BP25" s="348">
        <f t="shared" si="25"/>
        <v>100</v>
      </c>
      <c r="BQ25" s="353">
        <f t="shared" si="26"/>
        <v>2.38</v>
      </c>
      <c r="BR25" s="458">
        <v>0.59</v>
      </c>
      <c r="BS25" s="348">
        <f t="shared" si="27"/>
        <v>207.08999999999997</v>
      </c>
      <c r="BT25" s="447">
        <v>3</v>
      </c>
      <c r="BU25" s="351">
        <f t="shared" si="28"/>
        <v>0.85470085470085466</v>
      </c>
      <c r="BV25" s="353">
        <f t="shared" si="29"/>
        <v>0.37999999999999989</v>
      </c>
      <c r="BW25" s="451">
        <v>1</v>
      </c>
      <c r="BX25" s="473"/>
      <c r="BY25" s="475">
        <v>41695</v>
      </c>
      <c r="BZ25" s="663" t="s">
        <v>821</v>
      </c>
      <c r="CA25" s="666">
        <v>0.3</v>
      </c>
      <c r="CB25" s="354" t="str">
        <f t="shared" si="30"/>
        <v>To be realised</v>
      </c>
      <c r="CC25" s="431">
        <v>6</v>
      </c>
      <c r="CD25" s="431">
        <v>2</v>
      </c>
      <c r="CE25" s="355">
        <f t="shared" si="31"/>
        <v>67</v>
      </c>
      <c r="CF25" s="356">
        <f t="shared" si="32"/>
        <v>0</v>
      </c>
      <c r="CG25" s="348">
        <f t="shared" si="33"/>
        <v>0</v>
      </c>
      <c r="CH25" s="370">
        <f t="shared" si="34"/>
        <v>21</v>
      </c>
      <c r="CI25" s="441"/>
      <c r="CJ25" s="451">
        <v>0</v>
      </c>
      <c r="CK25" s="372">
        <f t="shared" si="35"/>
        <v>0</v>
      </c>
      <c r="CL25" s="441"/>
      <c r="CM25" s="357" t="str">
        <f t="shared" si="36"/>
        <v>No coverage</v>
      </c>
      <c r="CN25" s="447">
        <v>0</v>
      </c>
      <c r="CO25" s="754" t="s">
        <v>65</v>
      </c>
      <c r="CP25" s="482" t="s">
        <v>867</v>
      </c>
    </row>
    <row r="26" spans="2:94" s="36" customFormat="1" ht="30.75" customHeight="1" x14ac:dyDescent="0.2">
      <c r="B26" s="438" t="s">
        <v>107</v>
      </c>
      <c r="C26" s="430" t="s">
        <v>517</v>
      </c>
      <c r="D26" s="430" t="s">
        <v>256</v>
      </c>
      <c r="E26" s="430" t="s">
        <v>111</v>
      </c>
      <c r="F26" s="430">
        <v>96.317350000000005</v>
      </c>
      <c r="G26" s="430">
        <v>25.616509000000001</v>
      </c>
      <c r="H26" s="430" t="s">
        <v>442</v>
      </c>
      <c r="I26" s="430" t="s">
        <v>213</v>
      </c>
      <c r="J26" s="430" t="s">
        <v>812</v>
      </c>
      <c r="K26" s="430" t="s">
        <v>800</v>
      </c>
      <c r="L26" s="721">
        <v>15</v>
      </c>
      <c r="M26" s="721">
        <v>82</v>
      </c>
      <c r="N26" s="431">
        <v>83</v>
      </c>
      <c r="O26" s="660">
        <v>83</v>
      </c>
      <c r="P26" s="796" t="str">
        <f t="shared" si="0"/>
        <v>1. Small</v>
      </c>
      <c r="Q26" s="797" t="s">
        <v>253</v>
      </c>
      <c r="R26" s="432" t="s">
        <v>275</v>
      </c>
      <c r="S26" s="793" t="s">
        <v>275</v>
      </c>
      <c r="T26" s="365" t="str">
        <f t="shared" si="1"/>
        <v>Covered</v>
      </c>
      <c r="U26" s="437">
        <v>42456</v>
      </c>
      <c r="V26" s="784" t="s">
        <v>252</v>
      </c>
      <c r="W26" s="363" t="str">
        <f t="shared" si="2"/>
        <v>Documented</v>
      </c>
      <c r="X26" s="441">
        <v>0</v>
      </c>
      <c r="Y26" s="431">
        <v>0</v>
      </c>
      <c r="Z26" s="660" t="s">
        <v>19</v>
      </c>
      <c r="AA26" s="442" t="s">
        <v>19</v>
      </c>
      <c r="AB26" s="441">
        <v>1</v>
      </c>
      <c r="AC26" s="447">
        <v>0</v>
      </c>
      <c r="AD26" s="831">
        <v>0</v>
      </c>
      <c r="AE26" s="454">
        <v>0</v>
      </c>
      <c r="AF26" s="463">
        <v>0</v>
      </c>
      <c r="AG26" s="455"/>
      <c r="AH26" s="368">
        <f t="shared" si="3"/>
        <v>1</v>
      </c>
      <c r="AI26" s="346">
        <f t="shared" si="4"/>
        <v>83</v>
      </c>
      <c r="AJ26" s="347">
        <f t="shared" si="5"/>
        <v>1</v>
      </c>
      <c r="AK26" s="348">
        <f t="shared" si="6"/>
        <v>83</v>
      </c>
      <c r="AL26" s="345">
        <f t="shared" si="7"/>
        <v>1</v>
      </c>
      <c r="AM26" s="348">
        <f t="shared" si="8"/>
        <v>83</v>
      </c>
      <c r="AN26" s="349" t="str">
        <f t="shared" si="9"/>
        <v>80-100%</v>
      </c>
      <c r="AO26" s="345">
        <f t="shared" si="10"/>
        <v>0</v>
      </c>
      <c r="AP26" s="350">
        <f t="shared" si="11"/>
        <v>0</v>
      </c>
      <c r="AQ26" s="348">
        <f t="shared" si="12"/>
        <v>0</v>
      </c>
      <c r="AR26" s="348">
        <f t="shared" si="13"/>
        <v>0</v>
      </c>
      <c r="AS26" s="348">
        <f t="shared" si="14"/>
        <v>0</v>
      </c>
      <c r="AT26" s="458">
        <v>1</v>
      </c>
      <c r="AU26" s="459">
        <f t="shared" si="15"/>
        <v>83</v>
      </c>
      <c r="AV26" s="448"/>
      <c r="AW26" s="813">
        <v>4</v>
      </c>
      <c r="AX26" s="449">
        <v>0</v>
      </c>
      <c r="AY26" s="431"/>
      <c r="AZ26" s="431">
        <v>6</v>
      </c>
      <c r="BA26" s="431" t="s">
        <v>888</v>
      </c>
      <c r="BB26" s="442" t="s">
        <v>89</v>
      </c>
      <c r="BC26" s="810">
        <f t="shared" si="16"/>
        <v>1</v>
      </c>
      <c r="BD26" s="348">
        <f t="shared" si="17"/>
        <v>83</v>
      </c>
      <c r="BE26" s="351">
        <f t="shared" si="18"/>
        <v>0</v>
      </c>
      <c r="BF26" s="348">
        <f t="shared" si="19"/>
        <v>0</v>
      </c>
      <c r="BG26" s="351">
        <f t="shared" si="20"/>
        <v>1</v>
      </c>
      <c r="BH26" s="348">
        <f t="shared" si="21"/>
        <v>83</v>
      </c>
      <c r="BI26" s="447">
        <v>0</v>
      </c>
      <c r="BJ26" s="463">
        <v>1</v>
      </c>
      <c r="BK26" s="352">
        <f t="shared" si="22"/>
        <v>83</v>
      </c>
      <c r="BL26" s="353">
        <f t="shared" si="23"/>
        <v>0</v>
      </c>
      <c r="BM26" s="431">
        <v>1</v>
      </c>
      <c r="BN26" s="431" t="s">
        <v>291</v>
      </c>
      <c r="BO26" s="351">
        <f t="shared" si="24"/>
        <v>1</v>
      </c>
      <c r="BP26" s="348">
        <f t="shared" si="25"/>
        <v>83</v>
      </c>
      <c r="BQ26" s="353">
        <f t="shared" si="26"/>
        <v>0</v>
      </c>
      <c r="BR26" s="458">
        <v>1</v>
      </c>
      <c r="BS26" s="348">
        <f t="shared" si="27"/>
        <v>83</v>
      </c>
      <c r="BT26" s="447">
        <v>2</v>
      </c>
      <c r="BU26" s="351">
        <f t="shared" si="28"/>
        <v>1</v>
      </c>
      <c r="BV26" s="353">
        <f t="shared" si="29"/>
        <v>0</v>
      </c>
      <c r="BW26" s="451">
        <v>1</v>
      </c>
      <c r="BX26" s="473"/>
      <c r="BY26" s="475">
        <v>41695</v>
      </c>
      <c r="BZ26" s="663" t="s">
        <v>823</v>
      </c>
      <c r="CA26" s="666">
        <v>0.3</v>
      </c>
      <c r="CB26" s="354" t="str">
        <f t="shared" si="30"/>
        <v>To be realised</v>
      </c>
      <c r="CC26" s="431">
        <v>6</v>
      </c>
      <c r="CD26" s="431">
        <v>2</v>
      </c>
      <c r="CE26" s="355">
        <f t="shared" si="31"/>
        <v>15</v>
      </c>
      <c r="CF26" s="356">
        <f t="shared" si="32"/>
        <v>0</v>
      </c>
      <c r="CG26" s="348">
        <f t="shared" si="33"/>
        <v>0</v>
      </c>
      <c r="CH26" s="370">
        <f t="shared" si="34"/>
        <v>21</v>
      </c>
      <c r="CI26" s="441"/>
      <c r="CJ26" s="451">
        <v>0</v>
      </c>
      <c r="CK26" s="372">
        <f t="shared" si="35"/>
        <v>0</v>
      </c>
      <c r="CL26" s="441"/>
      <c r="CM26" s="357" t="str">
        <f t="shared" si="36"/>
        <v>No coverage</v>
      </c>
      <c r="CN26" s="447">
        <v>0</v>
      </c>
      <c r="CO26" s="754" t="s">
        <v>65</v>
      </c>
      <c r="CP26" s="482" t="s">
        <v>867</v>
      </c>
    </row>
    <row r="27" spans="2:94" s="36" customFormat="1" ht="30.75" customHeight="1" x14ac:dyDescent="0.2">
      <c r="B27" s="438" t="s">
        <v>107</v>
      </c>
      <c r="C27" s="430" t="s">
        <v>518</v>
      </c>
      <c r="D27" s="430" t="s">
        <v>256</v>
      </c>
      <c r="E27" s="430" t="s">
        <v>112</v>
      </c>
      <c r="F27" s="430">
        <v>96.346469999999997</v>
      </c>
      <c r="G27" s="430">
        <v>25.647649999999999</v>
      </c>
      <c r="H27" s="430" t="s">
        <v>442</v>
      </c>
      <c r="I27" s="430" t="s">
        <v>213</v>
      </c>
      <c r="J27" s="430" t="s">
        <v>813</v>
      </c>
      <c r="K27" s="430" t="s">
        <v>800</v>
      </c>
      <c r="L27" s="721">
        <v>38</v>
      </c>
      <c r="M27" s="721">
        <v>211</v>
      </c>
      <c r="N27" s="431">
        <v>213</v>
      </c>
      <c r="O27" s="660">
        <v>218</v>
      </c>
      <c r="P27" s="796" t="str">
        <f t="shared" si="0"/>
        <v>1. Small</v>
      </c>
      <c r="Q27" s="797" t="s">
        <v>253</v>
      </c>
      <c r="R27" s="432" t="s">
        <v>275</v>
      </c>
      <c r="S27" s="793" t="s">
        <v>275</v>
      </c>
      <c r="T27" s="365" t="str">
        <f t="shared" si="1"/>
        <v>Covered</v>
      </c>
      <c r="U27" s="437">
        <v>42456</v>
      </c>
      <c r="V27" s="784" t="s">
        <v>252</v>
      </c>
      <c r="W27" s="363" t="str">
        <f t="shared" si="2"/>
        <v>Documented</v>
      </c>
      <c r="X27" s="441">
        <v>0</v>
      </c>
      <c r="Y27" s="431">
        <v>0</v>
      </c>
      <c r="Z27" s="660" t="s">
        <v>19</v>
      </c>
      <c r="AA27" s="442" t="s">
        <v>19</v>
      </c>
      <c r="AB27" s="441">
        <v>2</v>
      </c>
      <c r="AC27" s="447">
        <v>0</v>
      </c>
      <c r="AD27" s="831">
        <v>0</v>
      </c>
      <c r="AE27" s="454">
        <v>0</v>
      </c>
      <c r="AF27" s="463">
        <v>0</v>
      </c>
      <c r="AG27" s="455"/>
      <c r="AH27" s="368">
        <f t="shared" si="3"/>
        <v>1</v>
      </c>
      <c r="AI27" s="346">
        <f t="shared" si="4"/>
        <v>218</v>
      </c>
      <c r="AJ27" s="347">
        <f t="shared" si="5"/>
        <v>1</v>
      </c>
      <c r="AK27" s="348">
        <f t="shared" si="6"/>
        <v>218</v>
      </c>
      <c r="AL27" s="345">
        <f t="shared" si="7"/>
        <v>1</v>
      </c>
      <c r="AM27" s="348">
        <f t="shared" si="8"/>
        <v>218</v>
      </c>
      <c r="AN27" s="349" t="str">
        <f t="shared" si="9"/>
        <v>80-100%</v>
      </c>
      <c r="AO27" s="345">
        <f t="shared" si="10"/>
        <v>0</v>
      </c>
      <c r="AP27" s="350">
        <f t="shared" si="11"/>
        <v>0</v>
      </c>
      <c r="AQ27" s="348">
        <f t="shared" si="12"/>
        <v>0</v>
      </c>
      <c r="AR27" s="348">
        <f t="shared" si="13"/>
        <v>0</v>
      </c>
      <c r="AS27" s="348">
        <f t="shared" si="14"/>
        <v>0</v>
      </c>
      <c r="AT27" s="458">
        <v>1</v>
      </c>
      <c r="AU27" s="459">
        <f t="shared" si="15"/>
        <v>218</v>
      </c>
      <c r="AV27" s="448"/>
      <c r="AW27" s="813">
        <v>2</v>
      </c>
      <c r="AX27" s="449">
        <v>0</v>
      </c>
      <c r="AY27" s="431"/>
      <c r="AZ27" s="431">
        <v>10</v>
      </c>
      <c r="BA27" s="431" t="s">
        <v>891</v>
      </c>
      <c r="BB27" s="442" t="s">
        <v>290</v>
      </c>
      <c r="BC27" s="810">
        <f t="shared" si="16"/>
        <v>0.91743119266055051</v>
      </c>
      <c r="BD27" s="348">
        <f t="shared" si="17"/>
        <v>200</v>
      </c>
      <c r="BE27" s="351">
        <f t="shared" si="18"/>
        <v>0</v>
      </c>
      <c r="BF27" s="348">
        <f t="shared" si="19"/>
        <v>0</v>
      </c>
      <c r="BG27" s="351">
        <f t="shared" si="20"/>
        <v>0.91743119266055051</v>
      </c>
      <c r="BH27" s="348">
        <f t="shared" si="21"/>
        <v>200</v>
      </c>
      <c r="BI27" s="447">
        <v>0</v>
      </c>
      <c r="BJ27" s="463">
        <v>1</v>
      </c>
      <c r="BK27" s="352">
        <f t="shared" si="22"/>
        <v>218</v>
      </c>
      <c r="BL27" s="353">
        <f t="shared" si="23"/>
        <v>0.90000000000000036</v>
      </c>
      <c r="BM27" s="431">
        <v>3</v>
      </c>
      <c r="BN27" s="431" t="s">
        <v>290</v>
      </c>
      <c r="BO27" s="351">
        <f t="shared" si="24"/>
        <v>1</v>
      </c>
      <c r="BP27" s="348">
        <f t="shared" si="25"/>
        <v>218</v>
      </c>
      <c r="BQ27" s="353">
        <f t="shared" si="26"/>
        <v>0</v>
      </c>
      <c r="BR27" s="458">
        <v>1</v>
      </c>
      <c r="BS27" s="348">
        <f t="shared" si="27"/>
        <v>218</v>
      </c>
      <c r="BT27" s="447">
        <v>2</v>
      </c>
      <c r="BU27" s="351">
        <f t="shared" si="28"/>
        <v>0.91743119266055051</v>
      </c>
      <c r="BV27" s="353">
        <f t="shared" si="29"/>
        <v>0.10999999999999988</v>
      </c>
      <c r="BW27" s="451">
        <v>1</v>
      </c>
      <c r="BX27" s="473"/>
      <c r="BY27" s="475">
        <v>41695</v>
      </c>
      <c r="BZ27" s="663" t="s">
        <v>823</v>
      </c>
      <c r="CA27" s="666">
        <v>0.3</v>
      </c>
      <c r="CB27" s="354" t="str">
        <f t="shared" si="30"/>
        <v>To be realised</v>
      </c>
      <c r="CC27" s="431">
        <v>8</v>
      </c>
      <c r="CD27" s="431">
        <v>2</v>
      </c>
      <c r="CE27" s="355">
        <f t="shared" si="31"/>
        <v>38</v>
      </c>
      <c r="CF27" s="356">
        <f t="shared" si="32"/>
        <v>0</v>
      </c>
      <c r="CG27" s="348">
        <f t="shared" si="33"/>
        <v>0</v>
      </c>
      <c r="CH27" s="370">
        <f t="shared" si="34"/>
        <v>21</v>
      </c>
      <c r="CI27" s="441"/>
      <c r="CJ27" s="451">
        <v>0</v>
      </c>
      <c r="CK27" s="372">
        <f t="shared" si="35"/>
        <v>0</v>
      </c>
      <c r="CL27" s="441"/>
      <c r="CM27" s="357" t="str">
        <f t="shared" si="36"/>
        <v>No coverage</v>
      </c>
      <c r="CN27" s="447">
        <v>0</v>
      </c>
      <c r="CO27" s="754" t="s">
        <v>65</v>
      </c>
      <c r="CP27" s="482" t="s">
        <v>867</v>
      </c>
    </row>
    <row r="28" spans="2:94" s="36" customFormat="1" ht="30.75" customHeight="1" x14ac:dyDescent="0.2">
      <c r="B28" s="438" t="s">
        <v>107</v>
      </c>
      <c r="C28" s="430" t="s">
        <v>826</v>
      </c>
      <c r="D28" s="430" t="s">
        <v>256</v>
      </c>
      <c r="E28" s="430" t="s">
        <v>827</v>
      </c>
      <c r="F28" s="430">
        <v>96.673805000000002</v>
      </c>
      <c r="G28" s="430">
        <v>25.728653000000001</v>
      </c>
      <c r="H28" s="430" t="s">
        <v>442</v>
      </c>
      <c r="I28" s="430" t="s">
        <v>213</v>
      </c>
      <c r="J28" s="430" t="s">
        <v>814</v>
      </c>
      <c r="K28" s="430" t="s">
        <v>804</v>
      </c>
      <c r="L28" s="721">
        <v>15</v>
      </c>
      <c r="M28" s="721">
        <v>78</v>
      </c>
      <c r="N28" s="431">
        <v>77</v>
      </c>
      <c r="O28" s="660">
        <v>77</v>
      </c>
      <c r="P28" s="796" t="str">
        <f t="shared" si="0"/>
        <v>1. Small</v>
      </c>
      <c r="Q28" s="797"/>
      <c r="R28" s="432" t="s">
        <v>275</v>
      </c>
      <c r="S28" s="793" t="s">
        <v>299</v>
      </c>
      <c r="T28" s="365" t="str">
        <f t="shared" si="1"/>
        <v>Not covered</v>
      </c>
      <c r="U28" s="437" t="s">
        <v>619</v>
      </c>
      <c r="V28" s="783" t="s">
        <v>254</v>
      </c>
      <c r="W28" s="363" t="str">
        <f t="shared" si="2"/>
        <v>Not documented</v>
      </c>
      <c r="X28" s="441">
        <v>0</v>
      </c>
      <c r="Y28" s="431">
        <v>0</v>
      </c>
      <c r="Z28" s="660" t="s">
        <v>19</v>
      </c>
      <c r="AA28" s="442" t="s">
        <v>928</v>
      </c>
      <c r="AB28" s="441">
        <v>1</v>
      </c>
      <c r="AC28" s="447">
        <v>1</v>
      </c>
      <c r="AD28" s="831">
        <v>0</v>
      </c>
      <c r="AE28" s="454">
        <v>0</v>
      </c>
      <c r="AF28" s="463">
        <v>0</v>
      </c>
      <c r="AG28" s="455"/>
      <c r="AH28" s="368">
        <f t="shared" si="3"/>
        <v>1</v>
      </c>
      <c r="AI28" s="346">
        <f t="shared" si="4"/>
        <v>77</v>
      </c>
      <c r="AJ28" s="347">
        <f t="shared" si="5"/>
        <v>1</v>
      </c>
      <c r="AK28" s="348">
        <f t="shared" si="6"/>
        <v>77</v>
      </c>
      <c r="AL28" s="345">
        <f t="shared" si="7"/>
        <v>1</v>
      </c>
      <c r="AM28" s="348">
        <f t="shared" si="8"/>
        <v>77</v>
      </c>
      <c r="AN28" s="349" t="str">
        <f t="shared" si="9"/>
        <v>80-100%</v>
      </c>
      <c r="AO28" s="345">
        <f t="shared" si="10"/>
        <v>0</v>
      </c>
      <c r="AP28" s="350">
        <f t="shared" si="11"/>
        <v>0</v>
      </c>
      <c r="AQ28" s="348">
        <f t="shared" si="12"/>
        <v>0</v>
      </c>
      <c r="AR28" s="348">
        <f t="shared" si="13"/>
        <v>0</v>
      </c>
      <c r="AS28" s="348">
        <f t="shared" si="14"/>
        <v>0</v>
      </c>
      <c r="AT28" s="458">
        <v>1</v>
      </c>
      <c r="AU28" s="459">
        <f t="shared" si="15"/>
        <v>77</v>
      </c>
      <c r="AV28" s="448"/>
      <c r="AW28" s="813">
        <v>0</v>
      </c>
      <c r="AX28" s="449">
        <v>2</v>
      </c>
      <c r="AY28" s="431"/>
      <c r="AZ28" s="431">
        <v>2</v>
      </c>
      <c r="BA28" s="431"/>
      <c r="BB28" s="442" t="s">
        <v>289</v>
      </c>
      <c r="BC28" s="810">
        <f t="shared" si="16"/>
        <v>1</v>
      </c>
      <c r="BD28" s="348">
        <f t="shared" si="17"/>
        <v>77</v>
      </c>
      <c r="BE28" s="351">
        <f t="shared" si="18"/>
        <v>0.48051948051948057</v>
      </c>
      <c r="BF28" s="348">
        <f t="shared" si="19"/>
        <v>37.000000000000007</v>
      </c>
      <c r="BG28" s="351">
        <f t="shared" si="20"/>
        <v>0.51948051948051943</v>
      </c>
      <c r="BH28" s="348">
        <f t="shared" si="21"/>
        <v>39.999999999999993</v>
      </c>
      <c r="BI28" s="447">
        <v>0</v>
      </c>
      <c r="BJ28" s="463">
        <v>1</v>
      </c>
      <c r="BK28" s="352">
        <f t="shared" si="22"/>
        <v>77</v>
      </c>
      <c r="BL28" s="353">
        <f t="shared" si="23"/>
        <v>1.85</v>
      </c>
      <c r="BM28" s="431">
        <v>2</v>
      </c>
      <c r="BN28" s="431" t="s">
        <v>290</v>
      </c>
      <c r="BO28" s="351">
        <f t="shared" si="24"/>
        <v>1</v>
      </c>
      <c r="BP28" s="348">
        <f t="shared" si="25"/>
        <v>77</v>
      </c>
      <c r="BQ28" s="353">
        <f t="shared" si="26"/>
        <v>0</v>
      </c>
      <c r="BR28" s="458">
        <v>1</v>
      </c>
      <c r="BS28" s="348">
        <f t="shared" si="27"/>
        <v>77</v>
      </c>
      <c r="BT28" s="447">
        <v>3</v>
      </c>
      <c r="BU28" s="351">
        <f t="shared" si="28"/>
        <v>1</v>
      </c>
      <c r="BV28" s="353">
        <f t="shared" si="29"/>
        <v>0</v>
      </c>
      <c r="BW28" s="451">
        <v>1</v>
      </c>
      <c r="BX28" s="473"/>
      <c r="BY28" s="475">
        <v>42049</v>
      </c>
      <c r="BZ28" s="663" t="s">
        <v>821</v>
      </c>
      <c r="CA28" s="666">
        <v>0.3</v>
      </c>
      <c r="CB28" s="354" t="str">
        <f t="shared" si="30"/>
        <v>To be realised</v>
      </c>
      <c r="CC28" s="431"/>
      <c r="CD28" s="431"/>
      <c r="CE28" s="355">
        <f t="shared" si="31"/>
        <v>15</v>
      </c>
      <c r="CF28" s="356">
        <f t="shared" si="32"/>
        <v>0</v>
      </c>
      <c r="CG28" s="348">
        <f t="shared" si="33"/>
        <v>0</v>
      </c>
      <c r="CH28" s="370">
        <f t="shared" si="34"/>
        <v>12</v>
      </c>
      <c r="CI28" s="441"/>
      <c r="CJ28" s="453">
        <v>0</v>
      </c>
      <c r="CK28" s="372">
        <f t="shared" si="35"/>
        <v>0</v>
      </c>
      <c r="CL28" s="441"/>
      <c r="CM28" s="357" t="str">
        <f t="shared" si="36"/>
        <v>No coverage</v>
      </c>
      <c r="CN28" s="447">
        <v>0</v>
      </c>
      <c r="CO28" s="754" t="s">
        <v>65</v>
      </c>
      <c r="CP28" s="482" t="s">
        <v>867</v>
      </c>
    </row>
    <row r="29" spans="2:94" s="36" customFormat="1" ht="30.75" customHeight="1" x14ac:dyDescent="0.2">
      <c r="B29" s="438" t="s">
        <v>107</v>
      </c>
      <c r="C29" s="430" t="s">
        <v>519</v>
      </c>
      <c r="D29" s="430" t="s">
        <v>256</v>
      </c>
      <c r="E29" s="430" t="s">
        <v>113</v>
      </c>
      <c r="F29" s="430">
        <v>96.283377000000002</v>
      </c>
      <c r="G29" s="430">
        <v>25.582065</v>
      </c>
      <c r="H29" s="430" t="s">
        <v>442</v>
      </c>
      <c r="I29" s="430" t="s">
        <v>213</v>
      </c>
      <c r="J29" s="430" t="s">
        <v>813</v>
      </c>
      <c r="K29" s="430" t="s">
        <v>800</v>
      </c>
      <c r="L29" s="721">
        <v>5</v>
      </c>
      <c r="M29" s="721">
        <v>26</v>
      </c>
      <c r="N29" s="431">
        <v>27</v>
      </c>
      <c r="O29" s="660">
        <v>30</v>
      </c>
      <c r="P29" s="796" t="str">
        <f t="shared" si="0"/>
        <v>1. Small</v>
      </c>
      <c r="Q29" s="797" t="s">
        <v>253</v>
      </c>
      <c r="R29" s="432" t="s">
        <v>275</v>
      </c>
      <c r="S29" s="793" t="s">
        <v>275</v>
      </c>
      <c r="T29" s="365" t="str">
        <f t="shared" si="1"/>
        <v>Covered</v>
      </c>
      <c r="U29" s="437">
        <v>42456</v>
      </c>
      <c r="V29" s="784" t="s">
        <v>252</v>
      </c>
      <c r="W29" s="363" t="str">
        <f t="shared" si="2"/>
        <v>Documented</v>
      </c>
      <c r="X29" s="441">
        <v>0</v>
      </c>
      <c r="Y29" s="431">
        <v>0</v>
      </c>
      <c r="Z29" s="660" t="s">
        <v>18</v>
      </c>
      <c r="AA29" s="442" t="s">
        <v>19</v>
      </c>
      <c r="AB29" s="441">
        <v>0</v>
      </c>
      <c r="AC29" s="447">
        <v>0</v>
      </c>
      <c r="AD29" s="831">
        <v>2000</v>
      </c>
      <c r="AE29" s="454">
        <v>0</v>
      </c>
      <c r="AF29" s="463">
        <v>0</v>
      </c>
      <c r="AG29" s="455"/>
      <c r="AH29" s="368">
        <f t="shared" si="3"/>
        <v>1</v>
      </c>
      <c r="AI29" s="346">
        <f t="shared" si="4"/>
        <v>30</v>
      </c>
      <c r="AJ29" s="347">
        <f t="shared" si="5"/>
        <v>1</v>
      </c>
      <c r="AK29" s="348">
        <f t="shared" si="6"/>
        <v>30</v>
      </c>
      <c r="AL29" s="345">
        <f t="shared" si="7"/>
        <v>1</v>
      </c>
      <c r="AM29" s="348">
        <f t="shared" si="8"/>
        <v>30</v>
      </c>
      <c r="AN29" s="349" t="str">
        <f t="shared" si="9"/>
        <v>80-100%</v>
      </c>
      <c r="AO29" s="345">
        <f t="shared" si="10"/>
        <v>0</v>
      </c>
      <c r="AP29" s="350">
        <f t="shared" si="11"/>
        <v>0</v>
      </c>
      <c r="AQ29" s="348">
        <f t="shared" si="12"/>
        <v>7.4999999999999997E-2</v>
      </c>
      <c r="AR29" s="348">
        <f t="shared" si="13"/>
        <v>0</v>
      </c>
      <c r="AS29" s="348">
        <f t="shared" si="14"/>
        <v>0</v>
      </c>
      <c r="AT29" s="458">
        <v>1</v>
      </c>
      <c r="AU29" s="459">
        <f t="shared" si="15"/>
        <v>30</v>
      </c>
      <c r="AV29" s="448"/>
      <c r="AW29" s="813">
        <v>10</v>
      </c>
      <c r="AX29" s="449">
        <v>0</v>
      </c>
      <c r="AY29" s="431"/>
      <c r="AZ29" s="431">
        <v>2</v>
      </c>
      <c r="BA29" s="431" t="s">
        <v>888</v>
      </c>
      <c r="BB29" s="442" t="s">
        <v>89</v>
      </c>
      <c r="BC29" s="810">
        <f t="shared" si="16"/>
        <v>1</v>
      </c>
      <c r="BD29" s="348">
        <f t="shared" si="17"/>
        <v>30</v>
      </c>
      <c r="BE29" s="351">
        <f t="shared" si="18"/>
        <v>0</v>
      </c>
      <c r="BF29" s="348">
        <f t="shared" si="19"/>
        <v>0</v>
      </c>
      <c r="BG29" s="351">
        <f t="shared" si="20"/>
        <v>1</v>
      </c>
      <c r="BH29" s="348">
        <f t="shared" si="21"/>
        <v>30</v>
      </c>
      <c r="BI29" s="447">
        <v>0</v>
      </c>
      <c r="BJ29" s="463">
        <v>1</v>
      </c>
      <c r="BK29" s="352">
        <f t="shared" si="22"/>
        <v>30</v>
      </c>
      <c r="BL29" s="353">
        <f t="shared" si="23"/>
        <v>0</v>
      </c>
      <c r="BM29" s="431">
        <v>1</v>
      </c>
      <c r="BN29" s="431" t="s">
        <v>89</v>
      </c>
      <c r="BO29" s="351">
        <f t="shared" si="24"/>
        <v>1</v>
      </c>
      <c r="BP29" s="348">
        <f t="shared" si="25"/>
        <v>30</v>
      </c>
      <c r="BQ29" s="353">
        <f t="shared" si="26"/>
        <v>0</v>
      </c>
      <c r="BR29" s="458">
        <v>1</v>
      </c>
      <c r="BS29" s="348">
        <f t="shared" si="27"/>
        <v>30</v>
      </c>
      <c r="BT29" s="447">
        <v>1</v>
      </c>
      <c r="BU29" s="351">
        <f t="shared" si="28"/>
        <v>1</v>
      </c>
      <c r="BV29" s="353">
        <f t="shared" si="29"/>
        <v>0</v>
      </c>
      <c r="BW29" s="451">
        <v>1</v>
      </c>
      <c r="BX29" s="473"/>
      <c r="BY29" s="475">
        <v>41695</v>
      </c>
      <c r="BZ29" s="663" t="s">
        <v>823</v>
      </c>
      <c r="CA29" s="666">
        <v>0.3</v>
      </c>
      <c r="CB29" s="354" t="str">
        <f t="shared" si="30"/>
        <v>To be realised</v>
      </c>
      <c r="CC29" s="431">
        <v>6</v>
      </c>
      <c r="CD29" s="431">
        <v>2</v>
      </c>
      <c r="CE29" s="355">
        <f t="shared" si="31"/>
        <v>5</v>
      </c>
      <c r="CF29" s="356">
        <f t="shared" si="32"/>
        <v>0</v>
      </c>
      <c r="CG29" s="348">
        <f t="shared" si="33"/>
        <v>0</v>
      </c>
      <c r="CH29" s="370">
        <f t="shared" si="34"/>
        <v>21</v>
      </c>
      <c r="CI29" s="441"/>
      <c r="CJ29" s="451">
        <v>0</v>
      </c>
      <c r="CK29" s="372">
        <f t="shared" si="35"/>
        <v>0</v>
      </c>
      <c r="CL29" s="441"/>
      <c r="CM29" s="357" t="str">
        <f t="shared" si="36"/>
        <v>No coverage</v>
      </c>
      <c r="CN29" s="447">
        <v>0</v>
      </c>
      <c r="CO29" s="754" t="s">
        <v>65</v>
      </c>
      <c r="CP29" s="482" t="s">
        <v>867</v>
      </c>
    </row>
    <row r="30" spans="2:94" s="36" customFormat="1" ht="30.75" customHeight="1" x14ac:dyDescent="0.2">
      <c r="B30" s="438" t="s">
        <v>107</v>
      </c>
      <c r="C30" s="430" t="s">
        <v>520</v>
      </c>
      <c r="D30" s="430" t="s">
        <v>256</v>
      </c>
      <c r="E30" s="430" t="s">
        <v>114</v>
      </c>
      <c r="F30" s="430">
        <v>96.354929999999996</v>
      </c>
      <c r="G30" s="430">
        <v>25.643090000000001</v>
      </c>
      <c r="H30" s="430" t="s">
        <v>442</v>
      </c>
      <c r="I30" s="430" t="s">
        <v>213</v>
      </c>
      <c r="J30" s="430" t="s">
        <v>813</v>
      </c>
      <c r="K30" s="430" t="s">
        <v>800</v>
      </c>
      <c r="L30" s="721">
        <v>65</v>
      </c>
      <c r="M30" s="721">
        <v>329</v>
      </c>
      <c r="N30" s="431">
        <v>352</v>
      </c>
      <c r="O30" s="660">
        <v>352</v>
      </c>
      <c r="P30" s="796" t="str">
        <f t="shared" si="0"/>
        <v>2. Medium</v>
      </c>
      <c r="Q30" s="797" t="s">
        <v>253</v>
      </c>
      <c r="R30" s="432" t="s">
        <v>275</v>
      </c>
      <c r="S30" s="793" t="s">
        <v>275</v>
      </c>
      <c r="T30" s="365" t="str">
        <f t="shared" si="1"/>
        <v>Covered</v>
      </c>
      <c r="U30" s="437">
        <v>42456</v>
      </c>
      <c r="V30" s="784" t="s">
        <v>252</v>
      </c>
      <c r="W30" s="363" t="str">
        <f t="shared" si="2"/>
        <v>Documented</v>
      </c>
      <c r="X30" s="441">
        <v>0</v>
      </c>
      <c r="Y30" s="431">
        <v>0</v>
      </c>
      <c r="Z30" s="660" t="s">
        <v>18</v>
      </c>
      <c r="AA30" s="442" t="s">
        <v>19</v>
      </c>
      <c r="AB30" s="441">
        <v>1</v>
      </c>
      <c r="AC30" s="447">
        <v>0</v>
      </c>
      <c r="AD30" s="831">
        <v>3000</v>
      </c>
      <c r="AE30" s="454">
        <v>0</v>
      </c>
      <c r="AF30" s="463">
        <v>0</v>
      </c>
      <c r="AG30" s="455"/>
      <c r="AH30" s="368">
        <f t="shared" si="3"/>
        <v>1</v>
      </c>
      <c r="AI30" s="346">
        <f t="shared" si="4"/>
        <v>352</v>
      </c>
      <c r="AJ30" s="347">
        <f t="shared" si="5"/>
        <v>1</v>
      </c>
      <c r="AK30" s="348">
        <f t="shared" si="6"/>
        <v>352</v>
      </c>
      <c r="AL30" s="345">
        <f t="shared" si="7"/>
        <v>1</v>
      </c>
      <c r="AM30" s="348">
        <f t="shared" si="8"/>
        <v>352</v>
      </c>
      <c r="AN30" s="349" t="str">
        <f t="shared" si="9"/>
        <v>80-100%</v>
      </c>
      <c r="AO30" s="345">
        <f t="shared" si="10"/>
        <v>0</v>
      </c>
      <c r="AP30" s="350">
        <f t="shared" si="11"/>
        <v>0</v>
      </c>
      <c r="AQ30" s="348">
        <f t="shared" si="12"/>
        <v>0</v>
      </c>
      <c r="AR30" s="348">
        <f t="shared" si="13"/>
        <v>0</v>
      </c>
      <c r="AS30" s="348">
        <f t="shared" si="14"/>
        <v>0</v>
      </c>
      <c r="AT30" s="458">
        <v>1</v>
      </c>
      <c r="AU30" s="459">
        <f t="shared" si="15"/>
        <v>352</v>
      </c>
      <c r="AV30" s="448"/>
      <c r="AW30" s="813">
        <v>3</v>
      </c>
      <c r="AX30" s="449">
        <v>0</v>
      </c>
      <c r="AY30" s="431"/>
      <c r="AZ30" s="431">
        <v>18</v>
      </c>
      <c r="BA30" s="431" t="s">
        <v>888</v>
      </c>
      <c r="BB30" s="442" t="s">
        <v>289</v>
      </c>
      <c r="BC30" s="810">
        <f t="shared" si="16"/>
        <v>1</v>
      </c>
      <c r="BD30" s="348">
        <f t="shared" si="17"/>
        <v>352</v>
      </c>
      <c r="BE30" s="351">
        <f t="shared" si="18"/>
        <v>0</v>
      </c>
      <c r="BF30" s="348">
        <f t="shared" si="19"/>
        <v>0</v>
      </c>
      <c r="BG30" s="351">
        <f t="shared" si="20"/>
        <v>1</v>
      </c>
      <c r="BH30" s="348">
        <f t="shared" si="21"/>
        <v>352</v>
      </c>
      <c r="BI30" s="447">
        <v>0</v>
      </c>
      <c r="BJ30" s="463">
        <v>1</v>
      </c>
      <c r="BK30" s="352">
        <f t="shared" si="22"/>
        <v>352</v>
      </c>
      <c r="BL30" s="353">
        <f t="shared" si="23"/>
        <v>0</v>
      </c>
      <c r="BM30" s="431">
        <v>3</v>
      </c>
      <c r="BN30" s="431" t="s">
        <v>290</v>
      </c>
      <c r="BO30" s="351">
        <f t="shared" si="24"/>
        <v>0.85227272727272729</v>
      </c>
      <c r="BP30" s="348">
        <f t="shared" si="25"/>
        <v>300</v>
      </c>
      <c r="BQ30" s="353">
        <f t="shared" si="26"/>
        <v>0.29000000000000004</v>
      </c>
      <c r="BR30" s="458">
        <v>1</v>
      </c>
      <c r="BS30" s="348">
        <f t="shared" si="27"/>
        <v>352</v>
      </c>
      <c r="BT30" s="447">
        <v>4</v>
      </c>
      <c r="BU30" s="351">
        <f t="shared" si="28"/>
        <v>1</v>
      </c>
      <c r="BV30" s="353">
        <f t="shared" si="29"/>
        <v>0</v>
      </c>
      <c r="BW30" s="451">
        <v>1</v>
      </c>
      <c r="BX30" s="473"/>
      <c r="BY30" s="475">
        <v>41695</v>
      </c>
      <c r="BZ30" s="663" t="s">
        <v>823</v>
      </c>
      <c r="CA30" s="666">
        <v>0.3</v>
      </c>
      <c r="CB30" s="354" t="str">
        <f t="shared" si="30"/>
        <v>To be realised</v>
      </c>
      <c r="CC30" s="431">
        <v>6</v>
      </c>
      <c r="CD30" s="431">
        <v>2</v>
      </c>
      <c r="CE30" s="355">
        <f t="shared" si="31"/>
        <v>65</v>
      </c>
      <c r="CF30" s="356">
        <f t="shared" si="32"/>
        <v>0</v>
      </c>
      <c r="CG30" s="348">
        <f t="shared" si="33"/>
        <v>0</v>
      </c>
      <c r="CH30" s="370">
        <f t="shared" si="34"/>
        <v>21</v>
      </c>
      <c r="CI30" s="441"/>
      <c r="CJ30" s="451">
        <v>0</v>
      </c>
      <c r="CK30" s="372">
        <f t="shared" si="35"/>
        <v>0</v>
      </c>
      <c r="CL30" s="441"/>
      <c r="CM30" s="357" t="str">
        <f t="shared" si="36"/>
        <v>No coverage</v>
      </c>
      <c r="CN30" s="447">
        <v>0</v>
      </c>
      <c r="CO30" s="754" t="s">
        <v>65</v>
      </c>
      <c r="CP30" s="482" t="s">
        <v>867</v>
      </c>
    </row>
    <row r="31" spans="2:94" s="36" customFormat="1" ht="30.75" customHeight="1" x14ac:dyDescent="0.2">
      <c r="B31" s="438" t="s">
        <v>107</v>
      </c>
      <c r="C31" s="430" t="s">
        <v>521</v>
      </c>
      <c r="D31" s="430" t="s">
        <v>256</v>
      </c>
      <c r="E31" s="430" t="s">
        <v>223</v>
      </c>
      <c r="F31" s="430">
        <v>96.705960000000005</v>
      </c>
      <c r="G31" s="430">
        <v>25.51352</v>
      </c>
      <c r="H31" s="430" t="s">
        <v>442</v>
      </c>
      <c r="I31" s="430" t="s">
        <v>213</v>
      </c>
      <c r="J31" s="430" t="s">
        <v>814</v>
      </c>
      <c r="K31" s="430" t="s">
        <v>800</v>
      </c>
      <c r="L31" s="721">
        <v>20</v>
      </c>
      <c r="M31" s="721">
        <v>64</v>
      </c>
      <c r="N31" s="431">
        <v>64</v>
      </c>
      <c r="O31" s="660">
        <v>64</v>
      </c>
      <c r="P31" s="796" t="str">
        <f t="shared" si="0"/>
        <v>1. Small</v>
      </c>
      <c r="Q31" s="797" t="s">
        <v>330</v>
      </c>
      <c r="R31" s="432" t="s">
        <v>234</v>
      </c>
      <c r="S31" s="793" t="s">
        <v>299</v>
      </c>
      <c r="T31" s="365" t="str">
        <f t="shared" si="1"/>
        <v>Not covered</v>
      </c>
      <c r="U31" s="437" t="s">
        <v>619</v>
      </c>
      <c r="V31" s="783" t="s">
        <v>254</v>
      </c>
      <c r="W31" s="363" t="str">
        <f t="shared" si="2"/>
        <v>Not documented</v>
      </c>
      <c r="X31" s="441">
        <v>0</v>
      </c>
      <c r="Y31" s="431">
        <v>0</v>
      </c>
      <c r="Z31" s="660" t="s">
        <v>19</v>
      </c>
      <c r="AA31" s="442" t="s">
        <v>19</v>
      </c>
      <c r="AB31" s="441">
        <v>0</v>
      </c>
      <c r="AC31" s="447">
        <v>2</v>
      </c>
      <c r="AD31" s="831">
        <v>0</v>
      </c>
      <c r="AE31" s="454">
        <v>0</v>
      </c>
      <c r="AF31" s="463">
        <v>1</v>
      </c>
      <c r="AG31" s="455" t="s">
        <v>830</v>
      </c>
      <c r="AH31" s="368">
        <f t="shared" si="3"/>
        <v>1</v>
      </c>
      <c r="AI31" s="346">
        <f t="shared" si="4"/>
        <v>64</v>
      </c>
      <c r="AJ31" s="347">
        <f t="shared" si="5"/>
        <v>1</v>
      </c>
      <c r="AK31" s="348">
        <f t="shared" si="6"/>
        <v>64</v>
      </c>
      <c r="AL31" s="345">
        <f t="shared" si="7"/>
        <v>1</v>
      </c>
      <c r="AM31" s="348">
        <f t="shared" si="8"/>
        <v>64</v>
      </c>
      <c r="AN31" s="349" t="str">
        <f t="shared" si="9"/>
        <v>80-100%</v>
      </c>
      <c r="AO31" s="345">
        <f t="shared" si="10"/>
        <v>0</v>
      </c>
      <c r="AP31" s="350">
        <f t="shared" si="11"/>
        <v>0</v>
      </c>
      <c r="AQ31" s="348">
        <f t="shared" si="12"/>
        <v>0</v>
      </c>
      <c r="AR31" s="348">
        <f t="shared" si="13"/>
        <v>20</v>
      </c>
      <c r="AS31" s="348">
        <f t="shared" si="14"/>
        <v>0</v>
      </c>
      <c r="AT31" s="458">
        <v>1</v>
      </c>
      <c r="AU31" s="459">
        <f t="shared" si="15"/>
        <v>64</v>
      </c>
      <c r="AV31" s="448"/>
      <c r="AW31" s="813">
        <v>0</v>
      </c>
      <c r="AX31" s="449">
        <v>3</v>
      </c>
      <c r="AY31" s="431"/>
      <c r="AZ31" s="431">
        <v>7</v>
      </c>
      <c r="BA31" s="431"/>
      <c r="BB31" s="442" t="s">
        <v>289</v>
      </c>
      <c r="BC31" s="810">
        <f t="shared" si="16"/>
        <v>1</v>
      </c>
      <c r="BD31" s="348">
        <f t="shared" si="17"/>
        <v>64</v>
      </c>
      <c r="BE31" s="351">
        <f t="shared" si="18"/>
        <v>0</v>
      </c>
      <c r="BF31" s="348">
        <f t="shared" si="19"/>
        <v>0</v>
      </c>
      <c r="BG31" s="351">
        <f t="shared" si="20"/>
        <v>1</v>
      </c>
      <c r="BH31" s="348">
        <f t="shared" si="21"/>
        <v>64</v>
      </c>
      <c r="BI31" s="447">
        <v>0</v>
      </c>
      <c r="BJ31" s="463">
        <v>1</v>
      </c>
      <c r="BK31" s="352">
        <f t="shared" si="22"/>
        <v>64</v>
      </c>
      <c r="BL31" s="353">
        <f t="shared" si="23"/>
        <v>0</v>
      </c>
      <c r="BM31" s="431">
        <v>2</v>
      </c>
      <c r="BN31" s="431" t="s">
        <v>290</v>
      </c>
      <c r="BO31" s="351">
        <f t="shared" si="24"/>
        <v>1</v>
      </c>
      <c r="BP31" s="348">
        <f t="shared" si="25"/>
        <v>64</v>
      </c>
      <c r="BQ31" s="353">
        <f t="shared" si="26"/>
        <v>0</v>
      </c>
      <c r="BR31" s="458">
        <v>1</v>
      </c>
      <c r="BS31" s="348">
        <f t="shared" si="27"/>
        <v>64</v>
      </c>
      <c r="BT31" s="447">
        <v>0</v>
      </c>
      <c r="BU31" s="351">
        <f t="shared" si="28"/>
        <v>0</v>
      </c>
      <c r="BV31" s="353">
        <f t="shared" si="29"/>
        <v>0.64</v>
      </c>
      <c r="BW31" s="451">
        <v>0</v>
      </c>
      <c r="BX31" s="473" t="s">
        <v>836</v>
      </c>
      <c r="BY31" s="475">
        <v>42173</v>
      </c>
      <c r="BZ31" s="663" t="s">
        <v>821</v>
      </c>
      <c r="CA31" s="666"/>
      <c r="CB31" s="354">
        <f t="shared" si="30"/>
        <v>42538</v>
      </c>
      <c r="CC31" s="431">
        <v>16</v>
      </c>
      <c r="CD31" s="431">
        <v>0</v>
      </c>
      <c r="CE31" s="355">
        <f t="shared" si="31"/>
        <v>4</v>
      </c>
      <c r="CF31" s="356">
        <f t="shared" si="32"/>
        <v>0.8</v>
      </c>
      <c r="CG31" s="348">
        <f t="shared" si="33"/>
        <v>51.2</v>
      </c>
      <c r="CH31" s="370">
        <f t="shared" si="34"/>
        <v>8</v>
      </c>
      <c r="CI31" s="441"/>
      <c r="CJ31" s="453">
        <v>0</v>
      </c>
      <c r="CK31" s="372">
        <f t="shared" si="35"/>
        <v>0</v>
      </c>
      <c r="CL31" s="441">
        <v>2</v>
      </c>
      <c r="CM31" s="357" t="str">
        <f t="shared" si="36"/>
        <v>Excellent coverage</v>
      </c>
      <c r="CN31" s="447">
        <v>0</v>
      </c>
      <c r="CO31" s="754" t="s">
        <v>292</v>
      </c>
      <c r="CP31" s="482"/>
    </row>
    <row r="32" spans="2:94" s="36" customFormat="1" ht="30.75" customHeight="1" x14ac:dyDescent="0.2">
      <c r="B32" s="438" t="s">
        <v>107</v>
      </c>
      <c r="C32" s="430" t="s">
        <v>522</v>
      </c>
      <c r="D32" s="430" t="s">
        <v>256</v>
      </c>
      <c r="E32" s="430" t="s">
        <v>115</v>
      </c>
      <c r="F32" s="430">
        <v>96.316564</v>
      </c>
      <c r="G32" s="430">
        <v>25.615960999999999</v>
      </c>
      <c r="H32" s="430" t="s">
        <v>442</v>
      </c>
      <c r="I32" s="430" t="s">
        <v>213</v>
      </c>
      <c r="J32" s="430" t="s">
        <v>812</v>
      </c>
      <c r="K32" s="430" t="s">
        <v>800</v>
      </c>
      <c r="L32" s="721">
        <v>10</v>
      </c>
      <c r="M32" s="721">
        <v>57</v>
      </c>
      <c r="N32" s="431">
        <v>30</v>
      </c>
      <c r="O32" s="660">
        <v>46</v>
      </c>
      <c r="P32" s="796" t="str">
        <f t="shared" si="0"/>
        <v>1. Small</v>
      </c>
      <c r="Q32" s="797" t="s">
        <v>253</v>
      </c>
      <c r="R32" s="432" t="s">
        <v>275</v>
      </c>
      <c r="S32" s="793" t="s">
        <v>275</v>
      </c>
      <c r="T32" s="365" t="str">
        <f t="shared" si="1"/>
        <v>Covered</v>
      </c>
      <c r="U32" s="437">
        <v>42456</v>
      </c>
      <c r="V32" s="784" t="s">
        <v>252</v>
      </c>
      <c r="W32" s="363" t="str">
        <f t="shared" si="2"/>
        <v>Documented</v>
      </c>
      <c r="X32" s="441">
        <v>0</v>
      </c>
      <c r="Y32" s="431">
        <v>0</v>
      </c>
      <c r="Z32" s="660" t="s">
        <v>19</v>
      </c>
      <c r="AA32" s="442" t="s">
        <v>19</v>
      </c>
      <c r="AB32" s="441">
        <v>1</v>
      </c>
      <c r="AC32" s="447">
        <v>0</v>
      </c>
      <c r="AD32" s="831">
        <v>0</v>
      </c>
      <c r="AE32" s="454">
        <v>0</v>
      </c>
      <c r="AF32" s="463">
        <v>0</v>
      </c>
      <c r="AG32" s="455"/>
      <c r="AH32" s="368">
        <f t="shared" si="3"/>
        <v>1</v>
      </c>
      <c r="AI32" s="346">
        <f t="shared" si="4"/>
        <v>46</v>
      </c>
      <c r="AJ32" s="347">
        <f t="shared" si="5"/>
        <v>1</v>
      </c>
      <c r="AK32" s="348">
        <f t="shared" si="6"/>
        <v>46</v>
      </c>
      <c r="AL32" s="345">
        <f t="shared" si="7"/>
        <v>1</v>
      </c>
      <c r="AM32" s="348">
        <f t="shared" si="8"/>
        <v>46</v>
      </c>
      <c r="AN32" s="349" t="str">
        <f t="shared" si="9"/>
        <v>80-100%</v>
      </c>
      <c r="AO32" s="345">
        <f t="shared" si="10"/>
        <v>0</v>
      </c>
      <c r="AP32" s="350">
        <f t="shared" si="11"/>
        <v>0</v>
      </c>
      <c r="AQ32" s="348">
        <f t="shared" si="12"/>
        <v>0</v>
      </c>
      <c r="AR32" s="348">
        <f t="shared" si="13"/>
        <v>0</v>
      </c>
      <c r="AS32" s="348">
        <f t="shared" si="14"/>
        <v>0</v>
      </c>
      <c r="AT32" s="458">
        <v>1</v>
      </c>
      <c r="AU32" s="459">
        <f t="shared" si="15"/>
        <v>46</v>
      </c>
      <c r="AV32" s="448"/>
      <c r="AW32" s="813">
        <v>20</v>
      </c>
      <c r="AX32" s="449">
        <v>0</v>
      </c>
      <c r="AY32" s="431"/>
      <c r="AZ32" s="431">
        <v>5</v>
      </c>
      <c r="BA32" s="431" t="s">
        <v>888</v>
      </c>
      <c r="BB32" s="442" t="s">
        <v>89</v>
      </c>
      <c r="BC32" s="810">
        <f t="shared" si="16"/>
        <v>1</v>
      </c>
      <c r="BD32" s="348">
        <f t="shared" si="17"/>
        <v>46</v>
      </c>
      <c r="BE32" s="351">
        <f t="shared" si="18"/>
        <v>0</v>
      </c>
      <c r="BF32" s="348">
        <f t="shared" si="19"/>
        <v>0</v>
      </c>
      <c r="BG32" s="351">
        <f t="shared" si="20"/>
        <v>1</v>
      </c>
      <c r="BH32" s="348">
        <f t="shared" si="21"/>
        <v>46</v>
      </c>
      <c r="BI32" s="447">
        <v>0</v>
      </c>
      <c r="BJ32" s="463">
        <v>1</v>
      </c>
      <c r="BK32" s="352">
        <f t="shared" si="22"/>
        <v>46</v>
      </c>
      <c r="BL32" s="353">
        <f t="shared" si="23"/>
        <v>0</v>
      </c>
      <c r="BM32" s="431">
        <v>1</v>
      </c>
      <c r="BN32" s="431" t="s">
        <v>290</v>
      </c>
      <c r="BO32" s="351">
        <f t="shared" si="24"/>
        <v>1</v>
      </c>
      <c r="BP32" s="348">
        <f t="shared" si="25"/>
        <v>46</v>
      </c>
      <c r="BQ32" s="353">
        <f t="shared" si="26"/>
        <v>0</v>
      </c>
      <c r="BR32" s="458">
        <v>1</v>
      </c>
      <c r="BS32" s="348">
        <f t="shared" si="27"/>
        <v>46</v>
      </c>
      <c r="BT32" s="447">
        <v>1</v>
      </c>
      <c r="BU32" s="351">
        <f t="shared" si="28"/>
        <v>1</v>
      </c>
      <c r="BV32" s="353">
        <f t="shared" si="29"/>
        <v>0</v>
      </c>
      <c r="BW32" s="451">
        <v>1</v>
      </c>
      <c r="BX32" s="473"/>
      <c r="BY32" s="475">
        <v>41695</v>
      </c>
      <c r="BZ32" s="663" t="s">
        <v>823</v>
      </c>
      <c r="CA32" s="666">
        <v>0.3</v>
      </c>
      <c r="CB32" s="354" t="str">
        <f t="shared" si="30"/>
        <v>To be realised</v>
      </c>
      <c r="CC32" s="431">
        <v>6</v>
      </c>
      <c r="CD32" s="431">
        <v>2</v>
      </c>
      <c r="CE32" s="355">
        <f t="shared" si="31"/>
        <v>10</v>
      </c>
      <c r="CF32" s="356">
        <f t="shared" si="32"/>
        <v>0</v>
      </c>
      <c r="CG32" s="348">
        <f t="shared" si="33"/>
        <v>0</v>
      </c>
      <c r="CH32" s="370">
        <f t="shared" si="34"/>
        <v>21</v>
      </c>
      <c r="CI32" s="441"/>
      <c r="CJ32" s="451">
        <v>0</v>
      </c>
      <c r="CK32" s="372">
        <f t="shared" si="35"/>
        <v>0</v>
      </c>
      <c r="CL32" s="441"/>
      <c r="CM32" s="357" t="str">
        <f t="shared" si="36"/>
        <v>No coverage</v>
      </c>
      <c r="CN32" s="447">
        <v>0</v>
      </c>
      <c r="CO32" s="754" t="s">
        <v>65</v>
      </c>
      <c r="CP32" s="482" t="s">
        <v>867</v>
      </c>
    </row>
    <row r="33" spans="2:94" s="36" customFormat="1" ht="30.75" customHeight="1" x14ac:dyDescent="0.2">
      <c r="B33" s="438" t="s">
        <v>107</v>
      </c>
      <c r="C33" s="430" t="s">
        <v>673</v>
      </c>
      <c r="D33" s="430" t="s">
        <v>256</v>
      </c>
      <c r="E33" s="430" t="s">
        <v>249</v>
      </c>
      <c r="F33" s="430">
        <v>96.312790000000007</v>
      </c>
      <c r="G33" s="430">
        <v>25.611160000000002</v>
      </c>
      <c r="H33" s="430" t="s">
        <v>442</v>
      </c>
      <c r="I33" s="430" t="s">
        <v>213</v>
      </c>
      <c r="J33" s="430" t="s">
        <v>814</v>
      </c>
      <c r="K33" s="430" t="s">
        <v>800</v>
      </c>
      <c r="L33" s="721">
        <v>66</v>
      </c>
      <c r="M33" s="721">
        <v>309</v>
      </c>
      <c r="N33" s="431">
        <v>427</v>
      </c>
      <c r="O33" s="660">
        <v>462</v>
      </c>
      <c r="P33" s="796" t="str">
        <f t="shared" si="0"/>
        <v>2. Medium</v>
      </c>
      <c r="Q33" s="797" t="s">
        <v>253</v>
      </c>
      <c r="R33" s="432" t="s">
        <v>275</v>
      </c>
      <c r="S33" s="793" t="s">
        <v>275</v>
      </c>
      <c r="T33" s="365" t="str">
        <f t="shared" si="1"/>
        <v>Covered</v>
      </c>
      <c r="U33" s="437">
        <v>42456</v>
      </c>
      <c r="V33" s="784" t="s">
        <v>252</v>
      </c>
      <c r="W33" s="363" t="str">
        <f t="shared" si="2"/>
        <v>Documented</v>
      </c>
      <c r="X33" s="441">
        <v>0</v>
      </c>
      <c r="Y33" s="431">
        <v>0</v>
      </c>
      <c r="Z33" s="660" t="s">
        <v>18</v>
      </c>
      <c r="AA33" s="442" t="s">
        <v>19</v>
      </c>
      <c r="AB33" s="441">
        <v>0</v>
      </c>
      <c r="AC33" s="447">
        <v>0</v>
      </c>
      <c r="AD33" s="831">
        <v>3320</v>
      </c>
      <c r="AE33" s="454">
        <v>0</v>
      </c>
      <c r="AF33" s="463">
        <v>0</v>
      </c>
      <c r="AG33" s="455"/>
      <c r="AH33" s="368">
        <f t="shared" si="3"/>
        <v>0.4790764790764791</v>
      </c>
      <c r="AI33" s="346">
        <f t="shared" si="4"/>
        <v>221.33333333333334</v>
      </c>
      <c r="AJ33" s="347">
        <f t="shared" si="5"/>
        <v>0.4790764790764791</v>
      </c>
      <c r="AK33" s="348">
        <f t="shared" si="6"/>
        <v>221.33333333333334</v>
      </c>
      <c r="AL33" s="345">
        <f t="shared" si="7"/>
        <v>0.4790764790764791</v>
      </c>
      <c r="AM33" s="348">
        <f t="shared" si="8"/>
        <v>221.33333333333334</v>
      </c>
      <c r="AN33" s="349" t="str">
        <f t="shared" si="9"/>
        <v>45-60%</v>
      </c>
      <c r="AO33" s="345">
        <f t="shared" si="10"/>
        <v>0</v>
      </c>
      <c r="AP33" s="350">
        <f t="shared" si="11"/>
        <v>0</v>
      </c>
      <c r="AQ33" s="348">
        <f t="shared" si="12"/>
        <v>1.155</v>
      </c>
      <c r="AR33" s="348">
        <f t="shared" si="13"/>
        <v>0</v>
      </c>
      <c r="AS33" s="348">
        <f t="shared" si="14"/>
        <v>0</v>
      </c>
      <c r="AT33" s="458">
        <v>1</v>
      </c>
      <c r="AU33" s="459">
        <f t="shared" si="15"/>
        <v>462</v>
      </c>
      <c r="AV33" s="448"/>
      <c r="AW33" s="813">
        <v>2</v>
      </c>
      <c r="AX33" s="449">
        <v>0</v>
      </c>
      <c r="AY33" s="431"/>
      <c r="AZ33" s="431">
        <v>26</v>
      </c>
      <c r="BA33" s="431" t="s">
        <v>888</v>
      </c>
      <c r="BB33" s="442" t="s">
        <v>290</v>
      </c>
      <c r="BC33" s="810">
        <f t="shared" si="16"/>
        <v>1</v>
      </c>
      <c r="BD33" s="348">
        <f t="shared" si="17"/>
        <v>462</v>
      </c>
      <c r="BE33" s="351">
        <f t="shared" si="18"/>
        <v>0</v>
      </c>
      <c r="BF33" s="348">
        <f t="shared" si="19"/>
        <v>0</v>
      </c>
      <c r="BG33" s="351">
        <f t="shared" si="20"/>
        <v>1</v>
      </c>
      <c r="BH33" s="348">
        <f t="shared" si="21"/>
        <v>462</v>
      </c>
      <c r="BI33" s="447">
        <v>0</v>
      </c>
      <c r="BJ33" s="463">
        <v>1</v>
      </c>
      <c r="BK33" s="352">
        <f t="shared" si="22"/>
        <v>462</v>
      </c>
      <c r="BL33" s="353">
        <f t="shared" si="23"/>
        <v>0</v>
      </c>
      <c r="BM33" s="431">
        <v>5</v>
      </c>
      <c r="BN33" s="431" t="s">
        <v>291</v>
      </c>
      <c r="BO33" s="351">
        <f t="shared" si="24"/>
        <v>1</v>
      </c>
      <c r="BP33" s="348">
        <f t="shared" si="25"/>
        <v>462</v>
      </c>
      <c r="BQ33" s="353">
        <f t="shared" si="26"/>
        <v>0</v>
      </c>
      <c r="BR33" s="458">
        <v>1</v>
      </c>
      <c r="BS33" s="348">
        <f t="shared" si="27"/>
        <v>462</v>
      </c>
      <c r="BT33" s="447">
        <v>2</v>
      </c>
      <c r="BU33" s="351">
        <f t="shared" si="28"/>
        <v>0.4329004329004329</v>
      </c>
      <c r="BV33" s="353">
        <f t="shared" si="29"/>
        <v>1.0899999999999999</v>
      </c>
      <c r="BW33" s="451">
        <v>1</v>
      </c>
      <c r="BX33" s="473"/>
      <c r="BY33" s="475">
        <v>41695</v>
      </c>
      <c r="BZ33" s="663" t="s">
        <v>821</v>
      </c>
      <c r="CA33" s="666">
        <v>0.3</v>
      </c>
      <c r="CB33" s="354" t="str">
        <f t="shared" si="30"/>
        <v>To be realised</v>
      </c>
      <c r="CC33" s="431">
        <v>0</v>
      </c>
      <c r="CD33" s="431">
        <v>0</v>
      </c>
      <c r="CE33" s="355">
        <f t="shared" si="31"/>
        <v>66</v>
      </c>
      <c r="CF33" s="356">
        <f t="shared" si="32"/>
        <v>0</v>
      </c>
      <c r="CG33" s="348">
        <f t="shared" si="33"/>
        <v>0</v>
      </c>
      <c r="CH33" s="370">
        <f t="shared" si="34"/>
        <v>23</v>
      </c>
      <c r="CI33" s="441"/>
      <c r="CJ33" s="451">
        <v>0</v>
      </c>
      <c r="CK33" s="372">
        <f t="shared" si="35"/>
        <v>0</v>
      </c>
      <c r="CL33" s="441"/>
      <c r="CM33" s="357" t="str">
        <f t="shared" si="36"/>
        <v>No coverage</v>
      </c>
      <c r="CN33" s="447">
        <v>0</v>
      </c>
      <c r="CO33" s="754" t="s">
        <v>65</v>
      </c>
      <c r="CP33" s="482" t="s">
        <v>867</v>
      </c>
    </row>
    <row r="34" spans="2:94" s="36" customFormat="1" ht="30.75" customHeight="1" x14ac:dyDescent="0.2">
      <c r="B34" s="438" t="s">
        <v>107</v>
      </c>
      <c r="C34" s="430" t="s">
        <v>713</v>
      </c>
      <c r="D34" s="430" t="s">
        <v>256</v>
      </c>
      <c r="E34" s="430" t="s">
        <v>714</v>
      </c>
      <c r="F34" s="430">
        <v>96.341520000000003</v>
      </c>
      <c r="G34" s="430">
        <v>25.655280000000001</v>
      </c>
      <c r="H34" s="430" t="s">
        <v>442</v>
      </c>
      <c r="I34" s="430" t="s">
        <v>213</v>
      </c>
      <c r="J34" s="430" t="s">
        <v>814</v>
      </c>
      <c r="K34" s="430" t="s">
        <v>800</v>
      </c>
      <c r="L34" s="721">
        <v>25</v>
      </c>
      <c r="M34" s="721">
        <v>129</v>
      </c>
      <c r="N34" s="431">
        <v>203</v>
      </c>
      <c r="O34" s="660">
        <v>233</v>
      </c>
      <c r="P34" s="796" t="str">
        <f t="shared" si="0"/>
        <v>1. Small</v>
      </c>
      <c r="Q34" s="797" t="s">
        <v>253</v>
      </c>
      <c r="R34" s="432"/>
      <c r="S34" s="793" t="s">
        <v>275</v>
      </c>
      <c r="T34" s="365" t="str">
        <f t="shared" si="1"/>
        <v>Covered</v>
      </c>
      <c r="U34" s="437">
        <v>42456</v>
      </c>
      <c r="V34" s="784" t="s">
        <v>922</v>
      </c>
      <c r="W34" s="363" t="str">
        <f t="shared" si="2"/>
        <v>Documented</v>
      </c>
      <c r="X34" s="441">
        <v>0</v>
      </c>
      <c r="Y34" s="431">
        <v>0</v>
      </c>
      <c r="Z34" s="660" t="s">
        <v>18</v>
      </c>
      <c r="AA34" s="442" t="s">
        <v>19</v>
      </c>
      <c r="AB34" s="441">
        <v>1</v>
      </c>
      <c r="AC34" s="447">
        <v>1</v>
      </c>
      <c r="AD34" s="831">
        <v>12960</v>
      </c>
      <c r="AE34" s="454">
        <v>0</v>
      </c>
      <c r="AF34" s="463">
        <v>0</v>
      </c>
      <c r="AG34" s="455"/>
      <c r="AH34" s="368">
        <f t="shared" si="3"/>
        <v>1</v>
      </c>
      <c r="AI34" s="346">
        <f t="shared" si="4"/>
        <v>233</v>
      </c>
      <c r="AJ34" s="347">
        <f t="shared" si="5"/>
        <v>1</v>
      </c>
      <c r="AK34" s="348">
        <f t="shared" si="6"/>
        <v>233</v>
      </c>
      <c r="AL34" s="345">
        <f t="shared" si="7"/>
        <v>1</v>
      </c>
      <c r="AM34" s="348">
        <f t="shared" si="8"/>
        <v>233</v>
      </c>
      <c r="AN34" s="349" t="str">
        <f t="shared" si="9"/>
        <v>80-100%</v>
      </c>
      <c r="AO34" s="345">
        <f t="shared" si="10"/>
        <v>0</v>
      </c>
      <c r="AP34" s="350">
        <f t="shared" si="11"/>
        <v>0</v>
      </c>
      <c r="AQ34" s="348">
        <f t="shared" si="12"/>
        <v>0</v>
      </c>
      <c r="AR34" s="348">
        <f t="shared" si="13"/>
        <v>0</v>
      </c>
      <c r="AS34" s="348">
        <f t="shared" si="14"/>
        <v>0</v>
      </c>
      <c r="AT34" s="458">
        <v>1</v>
      </c>
      <c r="AU34" s="459">
        <f t="shared" si="15"/>
        <v>233</v>
      </c>
      <c r="AV34" s="448"/>
      <c r="AW34" s="813">
        <v>0</v>
      </c>
      <c r="AX34" s="449">
        <v>0</v>
      </c>
      <c r="AY34" s="431"/>
      <c r="AZ34" s="431">
        <v>4</v>
      </c>
      <c r="BA34" s="431" t="s">
        <v>888</v>
      </c>
      <c r="BB34" s="442" t="s">
        <v>89</v>
      </c>
      <c r="BC34" s="810">
        <f t="shared" si="16"/>
        <v>0.34334763948497854</v>
      </c>
      <c r="BD34" s="348">
        <f t="shared" si="17"/>
        <v>80</v>
      </c>
      <c r="BE34" s="351">
        <f t="shared" si="18"/>
        <v>0</v>
      </c>
      <c r="BF34" s="348">
        <f t="shared" si="19"/>
        <v>0</v>
      </c>
      <c r="BG34" s="351">
        <f t="shared" si="20"/>
        <v>0.34334763948497854</v>
      </c>
      <c r="BH34" s="348">
        <f t="shared" si="21"/>
        <v>80</v>
      </c>
      <c r="BI34" s="447">
        <v>0</v>
      </c>
      <c r="BJ34" s="463">
        <v>1</v>
      </c>
      <c r="BK34" s="352">
        <f t="shared" si="22"/>
        <v>233</v>
      </c>
      <c r="BL34" s="353">
        <f t="shared" si="23"/>
        <v>7.65</v>
      </c>
      <c r="BM34" s="431">
        <v>1</v>
      </c>
      <c r="BN34" s="431" t="s">
        <v>89</v>
      </c>
      <c r="BO34" s="351">
        <f t="shared" si="24"/>
        <v>0.42918454935622319</v>
      </c>
      <c r="BP34" s="348">
        <f t="shared" si="25"/>
        <v>100</v>
      </c>
      <c r="BQ34" s="353">
        <f t="shared" si="26"/>
        <v>0.29000000000000004</v>
      </c>
      <c r="BR34" s="458">
        <v>0.86</v>
      </c>
      <c r="BS34" s="348">
        <f t="shared" si="27"/>
        <v>200.38</v>
      </c>
      <c r="BT34" s="447">
        <v>0</v>
      </c>
      <c r="BU34" s="351">
        <f t="shared" si="28"/>
        <v>0</v>
      </c>
      <c r="BV34" s="353">
        <f t="shared" si="29"/>
        <v>1.29</v>
      </c>
      <c r="BW34" s="451">
        <v>0</v>
      </c>
      <c r="BX34" s="473"/>
      <c r="BY34" s="475"/>
      <c r="BZ34" s="663" t="s">
        <v>823</v>
      </c>
      <c r="CA34" s="666">
        <v>0.3</v>
      </c>
      <c r="CB34" s="354" t="str">
        <f t="shared" si="30"/>
        <v>To be realised</v>
      </c>
      <c r="CC34" s="431">
        <v>0</v>
      </c>
      <c r="CD34" s="431">
        <v>0</v>
      </c>
      <c r="CE34" s="355">
        <f t="shared" si="31"/>
        <v>25</v>
      </c>
      <c r="CF34" s="356">
        <f t="shared" si="32"/>
        <v>0</v>
      </c>
      <c r="CG34" s="348">
        <f t="shared" si="33"/>
        <v>0</v>
      </c>
      <c r="CH34" s="370" t="str">
        <f t="shared" si="34"/>
        <v>Column BN to be completed</v>
      </c>
      <c r="CI34" s="441"/>
      <c r="CJ34" s="451">
        <v>0</v>
      </c>
      <c r="CK34" s="372">
        <f t="shared" si="35"/>
        <v>0</v>
      </c>
      <c r="CL34" s="441"/>
      <c r="CM34" s="357" t="str">
        <f t="shared" si="36"/>
        <v>No coverage</v>
      </c>
      <c r="CN34" s="447">
        <v>0</v>
      </c>
      <c r="CO34" s="754" t="s">
        <v>65</v>
      </c>
      <c r="CP34" s="482" t="s">
        <v>867</v>
      </c>
    </row>
    <row r="35" spans="2:94" s="36" customFormat="1" ht="30.75" customHeight="1" x14ac:dyDescent="0.2">
      <c r="B35" s="438" t="s">
        <v>107</v>
      </c>
      <c r="C35" s="430" t="s">
        <v>523</v>
      </c>
      <c r="D35" s="430" t="s">
        <v>256</v>
      </c>
      <c r="E35" s="430" t="s">
        <v>116</v>
      </c>
      <c r="F35" s="430">
        <v>96.269199999999998</v>
      </c>
      <c r="G35" s="430">
        <v>25.566510000000001</v>
      </c>
      <c r="H35" s="430" t="s">
        <v>442</v>
      </c>
      <c r="I35" s="430" t="s">
        <v>213</v>
      </c>
      <c r="J35" s="430" t="s">
        <v>813</v>
      </c>
      <c r="K35" s="430" t="s">
        <v>800</v>
      </c>
      <c r="L35" s="721">
        <v>25</v>
      </c>
      <c r="M35" s="721">
        <v>137</v>
      </c>
      <c r="N35" s="431">
        <v>95</v>
      </c>
      <c r="O35" s="660">
        <v>117</v>
      </c>
      <c r="P35" s="796" t="str">
        <f t="shared" si="0"/>
        <v>1. Small</v>
      </c>
      <c r="Q35" s="797" t="s">
        <v>253</v>
      </c>
      <c r="R35" s="432" t="s">
        <v>275</v>
      </c>
      <c r="S35" s="793" t="s">
        <v>275</v>
      </c>
      <c r="T35" s="365" t="str">
        <f t="shared" si="1"/>
        <v>Covered</v>
      </c>
      <c r="U35" s="437">
        <v>42456</v>
      </c>
      <c r="V35" s="784" t="s">
        <v>252</v>
      </c>
      <c r="W35" s="363" t="str">
        <f t="shared" si="2"/>
        <v>Documented</v>
      </c>
      <c r="X35" s="441">
        <v>0</v>
      </c>
      <c r="Y35" s="431">
        <v>0</v>
      </c>
      <c r="Z35" s="660" t="s">
        <v>18</v>
      </c>
      <c r="AA35" s="442" t="s">
        <v>19</v>
      </c>
      <c r="AB35" s="441">
        <v>0</v>
      </c>
      <c r="AC35" s="447">
        <v>0</v>
      </c>
      <c r="AD35" s="831">
        <v>3000</v>
      </c>
      <c r="AE35" s="454">
        <v>0</v>
      </c>
      <c r="AF35" s="463">
        <v>0</v>
      </c>
      <c r="AG35" s="455"/>
      <c r="AH35" s="368">
        <f t="shared" si="3"/>
        <v>1</v>
      </c>
      <c r="AI35" s="346">
        <f t="shared" si="4"/>
        <v>117</v>
      </c>
      <c r="AJ35" s="347">
        <f t="shared" si="5"/>
        <v>1</v>
      </c>
      <c r="AK35" s="348">
        <f t="shared" si="6"/>
        <v>117</v>
      </c>
      <c r="AL35" s="345">
        <f t="shared" si="7"/>
        <v>1</v>
      </c>
      <c r="AM35" s="348">
        <f t="shared" si="8"/>
        <v>117</v>
      </c>
      <c r="AN35" s="349" t="str">
        <f t="shared" si="9"/>
        <v>80-100%</v>
      </c>
      <c r="AO35" s="345">
        <f t="shared" si="10"/>
        <v>0</v>
      </c>
      <c r="AP35" s="350">
        <f t="shared" si="11"/>
        <v>0</v>
      </c>
      <c r="AQ35" s="348">
        <f t="shared" si="12"/>
        <v>0.29249999999999998</v>
      </c>
      <c r="AR35" s="348">
        <f t="shared" si="13"/>
        <v>0</v>
      </c>
      <c r="AS35" s="348">
        <f t="shared" si="14"/>
        <v>0</v>
      </c>
      <c r="AT35" s="458">
        <v>1</v>
      </c>
      <c r="AU35" s="459">
        <f t="shared" si="15"/>
        <v>117</v>
      </c>
      <c r="AV35" s="448"/>
      <c r="AW35" s="813">
        <v>2</v>
      </c>
      <c r="AX35" s="449">
        <v>0</v>
      </c>
      <c r="AY35" s="431"/>
      <c r="AZ35" s="431">
        <v>8</v>
      </c>
      <c r="BA35" s="431" t="s">
        <v>888</v>
      </c>
      <c r="BB35" s="442" t="s">
        <v>89</v>
      </c>
      <c r="BC35" s="810">
        <f t="shared" si="16"/>
        <v>1</v>
      </c>
      <c r="BD35" s="348">
        <f t="shared" si="17"/>
        <v>117</v>
      </c>
      <c r="BE35" s="351">
        <f t="shared" si="18"/>
        <v>0</v>
      </c>
      <c r="BF35" s="348">
        <f t="shared" si="19"/>
        <v>0</v>
      </c>
      <c r="BG35" s="351">
        <f t="shared" si="20"/>
        <v>1</v>
      </c>
      <c r="BH35" s="348">
        <f t="shared" si="21"/>
        <v>117</v>
      </c>
      <c r="BI35" s="447">
        <v>0</v>
      </c>
      <c r="BJ35" s="463">
        <v>1</v>
      </c>
      <c r="BK35" s="352">
        <f t="shared" si="22"/>
        <v>117</v>
      </c>
      <c r="BL35" s="353">
        <f t="shared" si="23"/>
        <v>0</v>
      </c>
      <c r="BM35" s="431">
        <v>1</v>
      </c>
      <c r="BN35" s="431" t="s">
        <v>291</v>
      </c>
      <c r="BO35" s="351">
        <f t="shared" si="24"/>
        <v>0.85470085470085466</v>
      </c>
      <c r="BP35" s="348">
        <f t="shared" si="25"/>
        <v>100</v>
      </c>
      <c r="BQ35" s="353">
        <f t="shared" si="26"/>
        <v>0.37000000000000011</v>
      </c>
      <c r="BR35" s="458">
        <v>1</v>
      </c>
      <c r="BS35" s="348">
        <f t="shared" si="27"/>
        <v>117</v>
      </c>
      <c r="BT35" s="447">
        <v>2</v>
      </c>
      <c r="BU35" s="351">
        <f t="shared" si="28"/>
        <v>1</v>
      </c>
      <c r="BV35" s="353">
        <f t="shared" si="29"/>
        <v>0</v>
      </c>
      <c r="BW35" s="451">
        <v>1</v>
      </c>
      <c r="BX35" s="473"/>
      <c r="BY35" s="475">
        <v>41695</v>
      </c>
      <c r="BZ35" s="663" t="s">
        <v>823</v>
      </c>
      <c r="CA35" s="666">
        <v>0.3</v>
      </c>
      <c r="CB35" s="354" t="str">
        <f t="shared" si="30"/>
        <v>To be realised</v>
      </c>
      <c r="CC35" s="431">
        <v>6</v>
      </c>
      <c r="CD35" s="431">
        <v>2</v>
      </c>
      <c r="CE35" s="355">
        <f t="shared" si="31"/>
        <v>25</v>
      </c>
      <c r="CF35" s="356">
        <f t="shared" si="32"/>
        <v>0</v>
      </c>
      <c r="CG35" s="348">
        <f t="shared" si="33"/>
        <v>0</v>
      </c>
      <c r="CH35" s="370">
        <f t="shared" si="34"/>
        <v>21</v>
      </c>
      <c r="CI35" s="441"/>
      <c r="CJ35" s="451">
        <v>0</v>
      </c>
      <c r="CK35" s="372">
        <f t="shared" si="35"/>
        <v>0</v>
      </c>
      <c r="CL35" s="441"/>
      <c r="CM35" s="357" t="str">
        <f t="shared" si="36"/>
        <v>No coverage</v>
      </c>
      <c r="CN35" s="447">
        <v>0</v>
      </c>
      <c r="CO35" s="754" t="s">
        <v>65</v>
      </c>
      <c r="CP35" s="482" t="s">
        <v>867</v>
      </c>
    </row>
    <row r="36" spans="2:94" s="36" customFormat="1" ht="30.75" customHeight="1" x14ac:dyDescent="0.2">
      <c r="B36" s="438" t="s">
        <v>107</v>
      </c>
      <c r="C36" s="430" t="s">
        <v>524</v>
      </c>
      <c r="D36" s="430" t="s">
        <v>256</v>
      </c>
      <c r="E36" s="430" t="s">
        <v>117</v>
      </c>
      <c r="F36" s="430">
        <v>96.316400000000002</v>
      </c>
      <c r="G36" s="430">
        <v>25.61842</v>
      </c>
      <c r="H36" s="430" t="s">
        <v>442</v>
      </c>
      <c r="I36" s="430" t="s">
        <v>213</v>
      </c>
      <c r="J36" s="430" t="s">
        <v>812</v>
      </c>
      <c r="K36" s="430" t="s">
        <v>800</v>
      </c>
      <c r="L36" s="721">
        <v>15</v>
      </c>
      <c r="M36" s="721">
        <v>72</v>
      </c>
      <c r="N36" s="431">
        <v>51</v>
      </c>
      <c r="O36" s="660">
        <v>69</v>
      </c>
      <c r="P36" s="796" t="str">
        <f t="shared" si="0"/>
        <v>1. Small</v>
      </c>
      <c r="Q36" s="797" t="s">
        <v>253</v>
      </c>
      <c r="R36" s="432" t="s">
        <v>275</v>
      </c>
      <c r="S36" s="793" t="s">
        <v>275</v>
      </c>
      <c r="T36" s="365" t="str">
        <f t="shared" si="1"/>
        <v>Covered</v>
      </c>
      <c r="U36" s="437">
        <v>42456</v>
      </c>
      <c r="V36" s="784" t="s">
        <v>252</v>
      </c>
      <c r="W36" s="363" t="str">
        <f t="shared" si="2"/>
        <v>Documented</v>
      </c>
      <c r="X36" s="441">
        <v>0</v>
      </c>
      <c r="Y36" s="431">
        <v>0</v>
      </c>
      <c r="Z36" s="660" t="s">
        <v>19</v>
      </c>
      <c r="AA36" s="442" t="s">
        <v>19</v>
      </c>
      <c r="AB36" s="441">
        <v>1</v>
      </c>
      <c r="AC36" s="447">
        <v>0</v>
      </c>
      <c r="AD36" s="831">
        <v>2000</v>
      </c>
      <c r="AE36" s="454">
        <v>0</v>
      </c>
      <c r="AF36" s="463">
        <v>0</v>
      </c>
      <c r="AG36" s="455"/>
      <c r="AH36" s="368">
        <f t="shared" si="3"/>
        <v>1</v>
      </c>
      <c r="AI36" s="346">
        <f t="shared" si="4"/>
        <v>69</v>
      </c>
      <c r="AJ36" s="347">
        <f t="shared" si="5"/>
        <v>1</v>
      </c>
      <c r="AK36" s="348">
        <f t="shared" si="6"/>
        <v>69</v>
      </c>
      <c r="AL36" s="345">
        <f t="shared" si="7"/>
        <v>1</v>
      </c>
      <c r="AM36" s="348">
        <f t="shared" si="8"/>
        <v>69</v>
      </c>
      <c r="AN36" s="349" t="str">
        <f t="shared" si="9"/>
        <v>80-100%</v>
      </c>
      <c r="AO36" s="345">
        <f t="shared" si="10"/>
        <v>0</v>
      </c>
      <c r="AP36" s="350">
        <f t="shared" si="11"/>
        <v>0</v>
      </c>
      <c r="AQ36" s="348">
        <f t="shared" si="12"/>
        <v>0</v>
      </c>
      <c r="AR36" s="348">
        <f t="shared" si="13"/>
        <v>0</v>
      </c>
      <c r="AS36" s="348">
        <f t="shared" si="14"/>
        <v>0</v>
      </c>
      <c r="AT36" s="458">
        <v>1</v>
      </c>
      <c r="AU36" s="459">
        <f t="shared" si="15"/>
        <v>69</v>
      </c>
      <c r="AV36" s="448"/>
      <c r="AW36" s="813">
        <v>2</v>
      </c>
      <c r="AX36" s="449">
        <v>0</v>
      </c>
      <c r="AY36" s="431"/>
      <c r="AZ36" s="431">
        <v>4</v>
      </c>
      <c r="BA36" s="431" t="s">
        <v>888</v>
      </c>
      <c r="BB36" s="442" t="s">
        <v>89</v>
      </c>
      <c r="BC36" s="810">
        <f t="shared" si="16"/>
        <v>1</v>
      </c>
      <c r="BD36" s="348">
        <f t="shared" si="17"/>
        <v>69</v>
      </c>
      <c r="BE36" s="351">
        <f t="shared" si="18"/>
        <v>0</v>
      </c>
      <c r="BF36" s="348">
        <f t="shared" si="19"/>
        <v>0</v>
      </c>
      <c r="BG36" s="351">
        <f t="shared" si="20"/>
        <v>1</v>
      </c>
      <c r="BH36" s="348">
        <f t="shared" si="21"/>
        <v>69</v>
      </c>
      <c r="BI36" s="447">
        <v>0</v>
      </c>
      <c r="BJ36" s="463">
        <v>1</v>
      </c>
      <c r="BK36" s="352">
        <f t="shared" si="22"/>
        <v>69</v>
      </c>
      <c r="BL36" s="353">
        <f t="shared" si="23"/>
        <v>0</v>
      </c>
      <c r="BM36" s="431">
        <v>1</v>
      </c>
      <c r="BN36" s="431" t="s">
        <v>89</v>
      </c>
      <c r="BO36" s="351">
        <f t="shared" si="24"/>
        <v>1</v>
      </c>
      <c r="BP36" s="348">
        <f t="shared" si="25"/>
        <v>69</v>
      </c>
      <c r="BQ36" s="353">
        <f t="shared" si="26"/>
        <v>0</v>
      </c>
      <c r="BR36" s="458">
        <v>1</v>
      </c>
      <c r="BS36" s="348">
        <f t="shared" si="27"/>
        <v>69</v>
      </c>
      <c r="BT36" s="447">
        <v>2</v>
      </c>
      <c r="BU36" s="351">
        <f t="shared" si="28"/>
        <v>1</v>
      </c>
      <c r="BV36" s="353">
        <f t="shared" si="29"/>
        <v>0</v>
      </c>
      <c r="BW36" s="451">
        <v>1</v>
      </c>
      <c r="BX36" s="473"/>
      <c r="BY36" s="475">
        <v>41695</v>
      </c>
      <c r="BZ36" s="663" t="s">
        <v>823</v>
      </c>
      <c r="CA36" s="666">
        <v>0.3</v>
      </c>
      <c r="CB36" s="354" t="str">
        <f t="shared" si="30"/>
        <v>To be realised</v>
      </c>
      <c r="CC36" s="431">
        <v>6</v>
      </c>
      <c r="CD36" s="431">
        <v>2</v>
      </c>
      <c r="CE36" s="355">
        <f t="shared" si="31"/>
        <v>15</v>
      </c>
      <c r="CF36" s="356">
        <f t="shared" si="32"/>
        <v>0</v>
      </c>
      <c r="CG36" s="348">
        <f t="shared" si="33"/>
        <v>0</v>
      </c>
      <c r="CH36" s="370">
        <f t="shared" si="34"/>
        <v>21</v>
      </c>
      <c r="CI36" s="441"/>
      <c r="CJ36" s="451">
        <v>0</v>
      </c>
      <c r="CK36" s="372">
        <f t="shared" si="35"/>
        <v>0</v>
      </c>
      <c r="CL36" s="441"/>
      <c r="CM36" s="357" t="str">
        <f t="shared" si="36"/>
        <v>No coverage</v>
      </c>
      <c r="CN36" s="447">
        <v>0</v>
      </c>
      <c r="CO36" s="753" t="s">
        <v>65</v>
      </c>
      <c r="CP36" s="482" t="s">
        <v>867</v>
      </c>
    </row>
    <row r="37" spans="2:94" s="36" customFormat="1" ht="30.75" customHeight="1" x14ac:dyDescent="0.2">
      <c r="B37" s="438" t="s">
        <v>107</v>
      </c>
      <c r="C37" s="430" t="s">
        <v>525</v>
      </c>
      <c r="D37" s="430" t="s">
        <v>256</v>
      </c>
      <c r="E37" s="430" t="s">
        <v>118</v>
      </c>
      <c r="F37" s="430">
        <v>96.319687999999999</v>
      </c>
      <c r="G37" s="430">
        <v>25.615202</v>
      </c>
      <c r="H37" s="430" t="s">
        <v>442</v>
      </c>
      <c r="I37" s="430" t="s">
        <v>213</v>
      </c>
      <c r="J37" s="430" t="s">
        <v>812</v>
      </c>
      <c r="K37" s="430" t="s">
        <v>800</v>
      </c>
      <c r="L37" s="721">
        <v>5</v>
      </c>
      <c r="M37" s="721">
        <v>23</v>
      </c>
      <c r="N37" s="431">
        <v>27</v>
      </c>
      <c r="O37" s="660">
        <v>27</v>
      </c>
      <c r="P37" s="796" t="str">
        <f t="shared" ref="P37:P68" si="37">IF(L37&gt;50,IF(L37&gt;250,IF(L37&gt;500,IF(L37&gt;1000,"5. Massive","4. Big"),"3. Large"),"2. Medium"),"1. Small")</f>
        <v>1. Small</v>
      </c>
      <c r="Q37" s="797" t="s">
        <v>253</v>
      </c>
      <c r="R37" s="432" t="s">
        <v>275</v>
      </c>
      <c r="S37" s="793" t="s">
        <v>275</v>
      </c>
      <c r="T37" s="365" t="str">
        <f t="shared" ref="T37:T68" si="38">IF(S37="None","Not covered","Covered")</f>
        <v>Covered</v>
      </c>
      <c r="U37" s="437">
        <v>42456</v>
      </c>
      <c r="V37" s="784" t="s">
        <v>252</v>
      </c>
      <c r="W37" s="363" t="str">
        <f t="shared" ref="W37:W68" si="39">IF(V37="Not documented","Not documented","Documented")</f>
        <v>Documented</v>
      </c>
      <c r="X37" s="441">
        <v>0</v>
      </c>
      <c r="Y37" s="431">
        <v>0</v>
      </c>
      <c r="Z37" s="660" t="s">
        <v>18</v>
      </c>
      <c r="AA37" s="442" t="s">
        <v>19</v>
      </c>
      <c r="AB37" s="441">
        <v>1</v>
      </c>
      <c r="AC37" s="447">
        <v>0</v>
      </c>
      <c r="AD37" s="831">
        <v>6000</v>
      </c>
      <c r="AE37" s="454">
        <v>0</v>
      </c>
      <c r="AF37" s="463">
        <v>0</v>
      </c>
      <c r="AG37" s="455"/>
      <c r="AH37" s="368">
        <f t="shared" ref="AH37:AH68" si="40">IF((((X37/15)+((Y37/30)/15)+AB37*400+AC37*500+(AD37/15))/O37)&gt;1,1,(((X37/15)+((Y37/30)/15)+AB37*400+AC37*500+(AD37/15))/O37))</f>
        <v>1</v>
      </c>
      <c r="AI37" s="346">
        <f t="shared" ref="AI37:AI68" si="41">AH37*O37</f>
        <v>27</v>
      </c>
      <c r="AJ37" s="347">
        <f t="shared" ref="AJ37:AJ68" si="42">IF(((AB37*400+AC37*500+(AD37/15))/O37)&gt;1,1,(AB37*400+AC37*500+(AD37/15))/O37)</f>
        <v>1</v>
      </c>
      <c r="AK37" s="348">
        <f t="shared" ref="AK37:AK68" si="43">AJ37*O37</f>
        <v>27</v>
      </c>
      <c r="AL37" s="345">
        <f t="shared" ref="AL37:AL68" si="44">IF(AF37=0,AH37,IF(AF37&lt;AH37,AH37,AF37))</f>
        <v>1</v>
      </c>
      <c r="AM37" s="348">
        <f t="shared" ref="AM37:AM68" si="45">AL37*O37</f>
        <v>27</v>
      </c>
      <c r="AN37" s="349" t="str">
        <f t="shared" ref="AN37:AN68" si="46">IF(AH37&gt;0.15,IF(AH37&gt;0.3,IF(AH37&gt;0.45,IF(AH37&gt;0.6,IF(AH37&gt;0.8,"80-100%","60-80%"),"45-60%"),"30-45%"),"15-30%"),"0-10%")</f>
        <v>80-100%</v>
      </c>
      <c r="AO37" s="345">
        <f t="shared" ref="AO37:AO68" si="47">IF((AH37-AJ37)&lt; 0, 0, AH37-AJ37)</f>
        <v>0</v>
      </c>
      <c r="AP37" s="350">
        <f t="shared" ref="AP37:AP68" si="48">AO37*O37</f>
        <v>0</v>
      </c>
      <c r="AQ37" s="348">
        <f t="shared" ref="AQ37:AQ68" si="49">IF(O37/400-(AB37+AC37)&lt;0,0,O37/400-(AB37+AC37))</f>
        <v>0</v>
      </c>
      <c r="AR37" s="348">
        <f t="shared" ref="AR37:AR68" si="50">AF37*L37</f>
        <v>0</v>
      </c>
      <c r="AS37" s="348">
        <f t="shared" ref="AS37:AS68" si="51">AE37*O37</f>
        <v>0</v>
      </c>
      <c r="AT37" s="458">
        <v>1</v>
      </c>
      <c r="AU37" s="459">
        <f t="shared" ref="AU37:AU68" si="52">AT37*O37</f>
        <v>27</v>
      </c>
      <c r="AV37" s="448"/>
      <c r="AW37" s="813">
        <v>5</v>
      </c>
      <c r="AX37" s="449">
        <v>0</v>
      </c>
      <c r="AY37" s="431"/>
      <c r="AZ37" s="431">
        <v>4</v>
      </c>
      <c r="BA37" s="431" t="s">
        <v>888</v>
      </c>
      <c r="BB37" s="442" t="s">
        <v>291</v>
      </c>
      <c r="BC37" s="810">
        <f t="shared" ref="BC37:BC68" si="53">IF((((AX37+AZ37)*20)/O37)&gt;1,1,(((AX37+AZ37)*20)/O37))</f>
        <v>1</v>
      </c>
      <c r="BD37" s="348">
        <f t="shared" ref="BD37:BD68" si="54">BC37*O37</f>
        <v>27</v>
      </c>
      <c r="BE37" s="351">
        <f t="shared" ref="BE37:BE68" si="55">BC37-BG37</f>
        <v>0</v>
      </c>
      <c r="BF37" s="348">
        <f t="shared" ref="BF37:BF68" si="56">BE37*O37</f>
        <v>0</v>
      </c>
      <c r="BG37" s="351">
        <f t="shared" ref="BG37:BG68" si="57">IF(((AZ37*20)/O37)&gt;1,1,((AZ37*20)/O37))</f>
        <v>1</v>
      </c>
      <c r="BH37" s="348">
        <f t="shared" ref="BH37:BH68" si="58">BG37*O37</f>
        <v>27</v>
      </c>
      <c r="BI37" s="447">
        <v>0</v>
      </c>
      <c r="BJ37" s="463">
        <v>1</v>
      </c>
      <c r="BK37" s="352">
        <f t="shared" ref="BK37:BK68" si="59">BJ37*O37</f>
        <v>27</v>
      </c>
      <c r="BL37" s="353">
        <f t="shared" ref="BL37:BL69" si="60">IF((O37/20-AZ37+BI37)&lt;0,0,(O37/20-AZ37+BI37))</f>
        <v>0</v>
      </c>
      <c r="BM37" s="431">
        <v>2</v>
      </c>
      <c r="BN37" s="431" t="s">
        <v>290</v>
      </c>
      <c r="BO37" s="351">
        <f t="shared" ref="BO37:BO68" si="61">IF((BM37*100/O37)&gt;1,1,(BM37*100/O37))</f>
        <v>1</v>
      </c>
      <c r="BP37" s="348">
        <f t="shared" ref="BP37:BP68" si="62">BO37*O37</f>
        <v>27</v>
      </c>
      <c r="BQ37" s="353">
        <f t="shared" ref="BQ37:BQ68" si="63">IF(M37/100-BM37&lt;0,0,M37/100-BM37)</f>
        <v>0</v>
      </c>
      <c r="BR37" s="458">
        <v>1</v>
      </c>
      <c r="BS37" s="348">
        <f t="shared" ref="BS37:BS68" si="64">BR37*O37</f>
        <v>27</v>
      </c>
      <c r="BT37" s="447">
        <v>1</v>
      </c>
      <c r="BU37" s="351">
        <f t="shared" ref="BU37:BU68" si="65">IF((BT37*100/O37)&gt;1,1,(BT37*100/O37))</f>
        <v>1</v>
      </c>
      <c r="BV37" s="353">
        <f t="shared" ref="BV37:BV68" si="66">IF(M37/100-BT37&lt;0,0,M37/100-BT37)</f>
        <v>0</v>
      </c>
      <c r="BW37" s="451">
        <v>1</v>
      </c>
      <c r="BX37" s="473"/>
      <c r="BY37" s="475">
        <v>41695</v>
      </c>
      <c r="BZ37" s="663" t="s">
        <v>823</v>
      </c>
      <c r="CA37" s="666">
        <v>0.3</v>
      </c>
      <c r="CB37" s="354" t="str">
        <f t="shared" ref="CB37:CB68" si="67">IF(BY37="","To be realised",IF(BY37="n/a","n/a",IF(BY37+365&lt;$E$2,"To be realised",BY37+365)))</f>
        <v>To be realised</v>
      </c>
      <c r="CC37" s="431">
        <v>5</v>
      </c>
      <c r="CD37" s="431">
        <v>2</v>
      </c>
      <c r="CE37" s="355">
        <f t="shared" ref="CE37:CE68" si="68">IF(CB37="n/a",0,IF(CB37="To be realised",L37,IF((L37-CC37)&lt;0,0,(L37-CC37))))</f>
        <v>5</v>
      </c>
      <c r="CF37" s="356">
        <f t="shared" ref="CF37:CF68" si="69">IF(CE37=0,1,(L37-CE37)/L37)</f>
        <v>0</v>
      </c>
      <c r="CG37" s="348">
        <f t="shared" ref="CG37:CG68" si="70">CF37*O37</f>
        <v>0</v>
      </c>
      <c r="CH37" s="370">
        <f t="shared" ref="CH37:CH68" si="71">IF(BY37="","Column BN to be completed", IF(BY37="n/a",0,IF(($E$2-BY37-30)/30-CD37&lt;0,0,ROUND((($E$2-BY37-30)/30-CD37),0))))</f>
        <v>21</v>
      </c>
      <c r="CI37" s="441"/>
      <c r="CJ37" s="451">
        <v>0</v>
      </c>
      <c r="CK37" s="372">
        <f t="shared" ref="CK37:CK68" si="72">CJ37*O37</f>
        <v>0</v>
      </c>
      <c r="CL37" s="441"/>
      <c r="CM37" s="357" t="str">
        <f t="shared" ref="CM37:CM68" si="73">IF(CL37=0,"No coverage",IF(O37/CL37&gt;1000,"Low coverage",IF(O37/CL37&gt;750,"Average coverage",IF(O37/CL37&gt;500,"Good coverage","Excellent coverage"))))</f>
        <v>No coverage</v>
      </c>
      <c r="CN37" s="447">
        <v>0</v>
      </c>
      <c r="CO37" s="753" t="s">
        <v>65</v>
      </c>
      <c r="CP37" s="482" t="s">
        <v>867</v>
      </c>
    </row>
    <row r="38" spans="2:94" s="36" customFormat="1" ht="30.75" customHeight="1" x14ac:dyDescent="0.2">
      <c r="B38" s="438" t="s">
        <v>107</v>
      </c>
      <c r="C38" s="430" t="s">
        <v>526</v>
      </c>
      <c r="D38" s="430" t="s">
        <v>256</v>
      </c>
      <c r="E38" s="430" t="s">
        <v>224</v>
      </c>
      <c r="F38" s="430">
        <v>96.339590000000001</v>
      </c>
      <c r="G38" s="430">
        <v>25.617998</v>
      </c>
      <c r="H38" s="430" t="s">
        <v>442</v>
      </c>
      <c r="I38" s="430" t="s">
        <v>213</v>
      </c>
      <c r="J38" s="430" t="s">
        <v>814</v>
      </c>
      <c r="K38" s="430" t="s">
        <v>800</v>
      </c>
      <c r="L38" s="721">
        <v>17</v>
      </c>
      <c r="M38" s="721">
        <v>64</v>
      </c>
      <c r="N38" s="431">
        <v>45</v>
      </c>
      <c r="O38" s="660">
        <v>45</v>
      </c>
      <c r="P38" s="796" t="str">
        <f t="shared" si="37"/>
        <v>1. Small</v>
      </c>
      <c r="Q38" s="797" t="s">
        <v>253</v>
      </c>
      <c r="R38" s="432" t="s">
        <v>275</v>
      </c>
      <c r="S38" s="793" t="s">
        <v>275</v>
      </c>
      <c r="T38" s="365" t="str">
        <f t="shared" si="38"/>
        <v>Covered</v>
      </c>
      <c r="U38" s="437">
        <v>42456</v>
      </c>
      <c r="V38" s="784" t="s">
        <v>252</v>
      </c>
      <c r="W38" s="363" t="str">
        <f t="shared" si="39"/>
        <v>Documented</v>
      </c>
      <c r="X38" s="441">
        <v>0</v>
      </c>
      <c r="Y38" s="431">
        <v>0</v>
      </c>
      <c r="Z38" s="660" t="s">
        <v>19</v>
      </c>
      <c r="AA38" s="442" t="s">
        <v>19</v>
      </c>
      <c r="AB38" s="441">
        <v>0</v>
      </c>
      <c r="AC38" s="447">
        <v>0</v>
      </c>
      <c r="AD38" s="831">
        <v>2000</v>
      </c>
      <c r="AE38" s="454">
        <v>0</v>
      </c>
      <c r="AF38" s="463">
        <v>0</v>
      </c>
      <c r="AG38" s="455"/>
      <c r="AH38" s="368">
        <f t="shared" si="40"/>
        <v>1</v>
      </c>
      <c r="AI38" s="346">
        <f t="shared" si="41"/>
        <v>45</v>
      </c>
      <c r="AJ38" s="347">
        <f t="shared" si="42"/>
        <v>1</v>
      </c>
      <c r="AK38" s="348">
        <f t="shared" si="43"/>
        <v>45</v>
      </c>
      <c r="AL38" s="345">
        <f t="shared" si="44"/>
        <v>1</v>
      </c>
      <c r="AM38" s="348">
        <f t="shared" si="45"/>
        <v>45</v>
      </c>
      <c r="AN38" s="349" t="str">
        <f t="shared" si="46"/>
        <v>80-100%</v>
      </c>
      <c r="AO38" s="345">
        <f t="shared" si="47"/>
        <v>0</v>
      </c>
      <c r="AP38" s="350">
        <f t="shared" si="48"/>
        <v>0</v>
      </c>
      <c r="AQ38" s="348">
        <f t="shared" si="49"/>
        <v>0.1125</v>
      </c>
      <c r="AR38" s="348">
        <f t="shared" si="50"/>
        <v>0</v>
      </c>
      <c r="AS38" s="348">
        <f t="shared" si="51"/>
        <v>0</v>
      </c>
      <c r="AT38" s="458">
        <v>1</v>
      </c>
      <c r="AU38" s="459">
        <f t="shared" si="52"/>
        <v>45</v>
      </c>
      <c r="AV38" s="448"/>
      <c r="AW38" s="813">
        <v>1</v>
      </c>
      <c r="AX38" s="449">
        <v>0</v>
      </c>
      <c r="AY38" s="431"/>
      <c r="AZ38" s="431">
        <v>4</v>
      </c>
      <c r="BA38" s="431" t="s">
        <v>888</v>
      </c>
      <c r="BB38" s="442" t="s">
        <v>290</v>
      </c>
      <c r="BC38" s="810">
        <f t="shared" si="53"/>
        <v>1</v>
      </c>
      <c r="BD38" s="348">
        <f t="shared" si="54"/>
        <v>45</v>
      </c>
      <c r="BE38" s="351">
        <f t="shared" si="55"/>
        <v>0</v>
      </c>
      <c r="BF38" s="348">
        <f t="shared" si="56"/>
        <v>0</v>
      </c>
      <c r="BG38" s="351">
        <f t="shared" si="57"/>
        <v>1</v>
      </c>
      <c r="BH38" s="348">
        <f t="shared" si="58"/>
        <v>45</v>
      </c>
      <c r="BI38" s="447">
        <v>0</v>
      </c>
      <c r="BJ38" s="463">
        <v>1</v>
      </c>
      <c r="BK38" s="352">
        <f t="shared" si="59"/>
        <v>45</v>
      </c>
      <c r="BL38" s="353">
        <f t="shared" si="60"/>
        <v>0</v>
      </c>
      <c r="BM38" s="431">
        <v>2</v>
      </c>
      <c r="BN38" s="431" t="s">
        <v>290</v>
      </c>
      <c r="BO38" s="351">
        <f t="shared" si="61"/>
        <v>1</v>
      </c>
      <c r="BP38" s="348">
        <f t="shared" si="62"/>
        <v>45</v>
      </c>
      <c r="BQ38" s="353">
        <f t="shared" si="63"/>
        <v>0</v>
      </c>
      <c r="BR38" s="458">
        <v>1</v>
      </c>
      <c r="BS38" s="348">
        <f t="shared" si="64"/>
        <v>45</v>
      </c>
      <c r="BT38" s="447">
        <v>1</v>
      </c>
      <c r="BU38" s="351">
        <f t="shared" si="65"/>
        <v>1</v>
      </c>
      <c r="BV38" s="353">
        <f t="shared" si="66"/>
        <v>0</v>
      </c>
      <c r="BW38" s="451">
        <v>1</v>
      </c>
      <c r="BX38" s="473"/>
      <c r="BY38" s="475">
        <v>41695</v>
      </c>
      <c r="BZ38" s="663" t="s">
        <v>823</v>
      </c>
      <c r="CA38" s="666">
        <v>0.3</v>
      </c>
      <c r="CB38" s="354" t="str">
        <f t="shared" si="67"/>
        <v>To be realised</v>
      </c>
      <c r="CC38" s="431">
        <v>6</v>
      </c>
      <c r="CD38" s="431">
        <v>2</v>
      </c>
      <c r="CE38" s="355">
        <f t="shared" si="68"/>
        <v>17</v>
      </c>
      <c r="CF38" s="356">
        <f t="shared" si="69"/>
        <v>0</v>
      </c>
      <c r="CG38" s="348">
        <f t="shared" si="70"/>
        <v>0</v>
      </c>
      <c r="CH38" s="370">
        <f t="shared" si="71"/>
        <v>21</v>
      </c>
      <c r="CI38" s="441"/>
      <c r="CJ38" s="451">
        <v>0</v>
      </c>
      <c r="CK38" s="372">
        <f t="shared" si="72"/>
        <v>0</v>
      </c>
      <c r="CL38" s="441"/>
      <c r="CM38" s="357" t="str">
        <f t="shared" si="73"/>
        <v>No coverage</v>
      </c>
      <c r="CN38" s="447">
        <v>0</v>
      </c>
      <c r="CO38" s="753" t="s">
        <v>65</v>
      </c>
      <c r="CP38" s="482" t="s">
        <v>867</v>
      </c>
    </row>
    <row r="39" spans="2:94" s="36" customFormat="1" ht="30.75" customHeight="1" x14ac:dyDescent="0.2">
      <c r="B39" s="438" t="s">
        <v>107</v>
      </c>
      <c r="C39" s="430" t="s">
        <v>527</v>
      </c>
      <c r="D39" s="430" t="s">
        <v>256</v>
      </c>
      <c r="E39" s="430" t="s">
        <v>119</v>
      </c>
      <c r="F39" s="430">
        <v>96.341352999999998</v>
      </c>
      <c r="G39" s="430">
        <v>25.613894999999999</v>
      </c>
      <c r="H39" s="430" t="s">
        <v>442</v>
      </c>
      <c r="I39" s="430" t="s">
        <v>213</v>
      </c>
      <c r="J39" s="430" t="s">
        <v>814</v>
      </c>
      <c r="K39" s="430" t="s">
        <v>800</v>
      </c>
      <c r="L39" s="721">
        <v>54</v>
      </c>
      <c r="M39" s="721">
        <v>262</v>
      </c>
      <c r="N39" s="431">
        <v>272</v>
      </c>
      <c r="O39" s="660">
        <v>272</v>
      </c>
      <c r="P39" s="796" t="str">
        <f t="shared" si="37"/>
        <v>2. Medium</v>
      </c>
      <c r="Q39" s="797" t="s">
        <v>828</v>
      </c>
      <c r="R39" s="432" t="s">
        <v>230</v>
      </c>
      <c r="S39" s="793" t="s">
        <v>230</v>
      </c>
      <c r="T39" s="365" t="str">
        <f t="shared" si="38"/>
        <v>Covered</v>
      </c>
      <c r="U39" s="437">
        <v>42735</v>
      </c>
      <c r="V39" s="784" t="s">
        <v>252</v>
      </c>
      <c r="W39" s="363" t="str">
        <f t="shared" si="39"/>
        <v>Documented</v>
      </c>
      <c r="X39" s="441">
        <v>0</v>
      </c>
      <c r="Y39" s="431">
        <v>0</v>
      </c>
      <c r="Z39" s="660" t="s">
        <v>19</v>
      </c>
      <c r="AA39" s="442" t="s">
        <v>19</v>
      </c>
      <c r="AB39" s="441">
        <v>2</v>
      </c>
      <c r="AC39" s="447">
        <v>0</v>
      </c>
      <c r="AD39" s="831">
        <v>3000</v>
      </c>
      <c r="AE39" s="454">
        <v>0</v>
      </c>
      <c r="AF39" s="463">
        <v>1</v>
      </c>
      <c r="AG39" s="455"/>
      <c r="AH39" s="368">
        <f t="shared" si="40"/>
        <v>1</v>
      </c>
      <c r="AI39" s="346">
        <f t="shared" si="41"/>
        <v>272</v>
      </c>
      <c r="AJ39" s="347">
        <f t="shared" si="42"/>
        <v>1</v>
      </c>
      <c r="AK39" s="348">
        <f t="shared" si="43"/>
        <v>272</v>
      </c>
      <c r="AL39" s="345">
        <f t="shared" si="44"/>
        <v>1</v>
      </c>
      <c r="AM39" s="348">
        <f t="shared" si="45"/>
        <v>272</v>
      </c>
      <c r="AN39" s="349" t="str">
        <f t="shared" si="46"/>
        <v>80-100%</v>
      </c>
      <c r="AO39" s="345">
        <f t="shared" si="47"/>
        <v>0</v>
      </c>
      <c r="AP39" s="350">
        <f t="shared" si="48"/>
        <v>0</v>
      </c>
      <c r="AQ39" s="348">
        <f t="shared" si="49"/>
        <v>0</v>
      </c>
      <c r="AR39" s="348">
        <f t="shared" si="50"/>
        <v>54</v>
      </c>
      <c r="AS39" s="348">
        <f t="shared" si="51"/>
        <v>0</v>
      </c>
      <c r="AT39" s="458">
        <v>1</v>
      </c>
      <c r="AU39" s="459">
        <f t="shared" si="52"/>
        <v>272</v>
      </c>
      <c r="AV39" s="448"/>
      <c r="AW39" s="813">
        <v>8</v>
      </c>
      <c r="AX39" s="449">
        <v>0</v>
      </c>
      <c r="AY39" s="431"/>
      <c r="AZ39" s="431">
        <v>10</v>
      </c>
      <c r="BA39" s="431" t="s">
        <v>888</v>
      </c>
      <c r="BB39" s="442" t="s">
        <v>89</v>
      </c>
      <c r="BC39" s="810">
        <f t="shared" si="53"/>
        <v>0.73529411764705888</v>
      </c>
      <c r="BD39" s="348">
        <f t="shared" si="54"/>
        <v>200</v>
      </c>
      <c r="BE39" s="351">
        <f t="shared" si="55"/>
        <v>0</v>
      </c>
      <c r="BF39" s="348">
        <f t="shared" si="56"/>
        <v>0</v>
      </c>
      <c r="BG39" s="351">
        <f t="shared" si="57"/>
        <v>0.73529411764705888</v>
      </c>
      <c r="BH39" s="348">
        <f t="shared" si="58"/>
        <v>200</v>
      </c>
      <c r="BI39" s="447">
        <v>0</v>
      </c>
      <c r="BJ39" s="463">
        <v>1</v>
      </c>
      <c r="BK39" s="352">
        <f t="shared" si="59"/>
        <v>272</v>
      </c>
      <c r="BL39" s="353">
        <f t="shared" si="60"/>
        <v>3.5999999999999996</v>
      </c>
      <c r="BM39" s="431">
        <v>2</v>
      </c>
      <c r="BN39" s="431" t="s">
        <v>290</v>
      </c>
      <c r="BO39" s="351">
        <f t="shared" si="61"/>
        <v>0.73529411764705888</v>
      </c>
      <c r="BP39" s="348">
        <f t="shared" si="62"/>
        <v>200</v>
      </c>
      <c r="BQ39" s="353">
        <f t="shared" si="63"/>
        <v>0.62000000000000011</v>
      </c>
      <c r="BR39" s="458">
        <v>0.74</v>
      </c>
      <c r="BS39" s="348">
        <f t="shared" si="64"/>
        <v>201.28</v>
      </c>
      <c r="BT39" s="447">
        <v>3</v>
      </c>
      <c r="BU39" s="351">
        <f t="shared" si="65"/>
        <v>1</v>
      </c>
      <c r="BV39" s="353">
        <f t="shared" si="66"/>
        <v>0</v>
      </c>
      <c r="BW39" s="451">
        <v>1</v>
      </c>
      <c r="BX39" s="473"/>
      <c r="BY39" s="475">
        <v>41817</v>
      </c>
      <c r="BZ39" s="663" t="s">
        <v>821</v>
      </c>
      <c r="CA39" s="666">
        <v>0</v>
      </c>
      <c r="CB39" s="354" t="str">
        <f t="shared" si="67"/>
        <v>To be realised</v>
      </c>
      <c r="CC39" s="431">
        <v>55</v>
      </c>
      <c r="CD39" s="431">
        <v>2</v>
      </c>
      <c r="CE39" s="355">
        <f t="shared" si="68"/>
        <v>54</v>
      </c>
      <c r="CF39" s="356">
        <f t="shared" si="69"/>
        <v>0</v>
      </c>
      <c r="CG39" s="348">
        <f t="shared" si="70"/>
        <v>0</v>
      </c>
      <c r="CH39" s="370">
        <f t="shared" si="71"/>
        <v>17</v>
      </c>
      <c r="CI39" s="441"/>
      <c r="CJ39" s="451">
        <v>1</v>
      </c>
      <c r="CK39" s="372">
        <f t="shared" si="72"/>
        <v>272</v>
      </c>
      <c r="CL39" s="441">
        <v>4</v>
      </c>
      <c r="CM39" s="357" t="str">
        <f t="shared" si="73"/>
        <v>Excellent coverage</v>
      </c>
      <c r="CN39" s="447">
        <v>0</v>
      </c>
      <c r="CO39" s="753" t="s">
        <v>292</v>
      </c>
      <c r="CP39" s="482"/>
    </row>
    <row r="40" spans="2:94" s="36" customFormat="1" ht="30.75" customHeight="1" x14ac:dyDescent="0.2">
      <c r="B40" s="438" t="s">
        <v>107</v>
      </c>
      <c r="C40" s="430" t="s">
        <v>528</v>
      </c>
      <c r="D40" s="430" t="s">
        <v>256</v>
      </c>
      <c r="E40" s="430" t="s">
        <v>120</v>
      </c>
      <c r="F40" s="430">
        <v>96.279200000000003</v>
      </c>
      <c r="G40" s="430">
        <v>25.56551</v>
      </c>
      <c r="H40" s="430" t="s">
        <v>442</v>
      </c>
      <c r="I40" s="430" t="s">
        <v>213</v>
      </c>
      <c r="J40" s="430" t="s">
        <v>813</v>
      </c>
      <c r="K40" s="430" t="s">
        <v>800</v>
      </c>
      <c r="L40" s="721">
        <v>12</v>
      </c>
      <c r="M40" s="721">
        <v>51</v>
      </c>
      <c r="N40" s="431">
        <v>25</v>
      </c>
      <c r="O40" s="660">
        <v>37</v>
      </c>
      <c r="P40" s="796" t="str">
        <f t="shared" si="37"/>
        <v>1. Small</v>
      </c>
      <c r="Q40" s="797" t="s">
        <v>253</v>
      </c>
      <c r="R40" s="432" t="s">
        <v>275</v>
      </c>
      <c r="S40" s="793" t="s">
        <v>275</v>
      </c>
      <c r="T40" s="365" t="str">
        <f t="shared" si="38"/>
        <v>Covered</v>
      </c>
      <c r="U40" s="437">
        <v>42456</v>
      </c>
      <c r="V40" s="784" t="s">
        <v>252</v>
      </c>
      <c r="W40" s="363" t="str">
        <f t="shared" si="39"/>
        <v>Documented</v>
      </c>
      <c r="X40" s="441">
        <v>0</v>
      </c>
      <c r="Y40" s="431">
        <v>0</v>
      </c>
      <c r="Z40" s="660" t="s">
        <v>18</v>
      </c>
      <c r="AA40" s="442" t="s">
        <v>19</v>
      </c>
      <c r="AB40" s="441">
        <v>0</v>
      </c>
      <c r="AC40" s="447">
        <v>0</v>
      </c>
      <c r="AD40" s="831">
        <v>1600</v>
      </c>
      <c r="AE40" s="454">
        <v>0</v>
      </c>
      <c r="AF40" s="463">
        <v>0</v>
      </c>
      <c r="AG40" s="455"/>
      <c r="AH40" s="368">
        <f t="shared" si="40"/>
        <v>1</v>
      </c>
      <c r="AI40" s="346">
        <f t="shared" si="41"/>
        <v>37</v>
      </c>
      <c r="AJ40" s="347">
        <f t="shared" si="42"/>
        <v>1</v>
      </c>
      <c r="AK40" s="348">
        <f t="shared" si="43"/>
        <v>37</v>
      </c>
      <c r="AL40" s="345">
        <f t="shared" si="44"/>
        <v>1</v>
      </c>
      <c r="AM40" s="348">
        <f t="shared" si="45"/>
        <v>37</v>
      </c>
      <c r="AN40" s="349" t="str">
        <f t="shared" si="46"/>
        <v>80-100%</v>
      </c>
      <c r="AO40" s="345">
        <f t="shared" si="47"/>
        <v>0</v>
      </c>
      <c r="AP40" s="350">
        <f t="shared" si="48"/>
        <v>0</v>
      </c>
      <c r="AQ40" s="348">
        <f t="shared" si="49"/>
        <v>9.2499999999999999E-2</v>
      </c>
      <c r="AR40" s="348">
        <f t="shared" si="50"/>
        <v>0</v>
      </c>
      <c r="AS40" s="348">
        <f t="shared" si="51"/>
        <v>0</v>
      </c>
      <c r="AT40" s="458">
        <v>1</v>
      </c>
      <c r="AU40" s="459">
        <f t="shared" si="52"/>
        <v>37</v>
      </c>
      <c r="AV40" s="448"/>
      <c r="AW40" s="813">
        <v>9</v>
      </c>
      <c r="AX40" s="449">
        <v>0</v>
      </c>
      <c r="AY40" s="431"/>
      <c r="AZ40" s="431">
        <v>3</v>
      </c>
      <c r="BA40" s="431" t="s">
        <v>888</v>
      </c>
      <c r="BB40" s="442" t="s">
        <v>89</v>
      </c>
      <c r="BC40" s="810">
        <f t="shared" si="53"/>
        <v>1</v>
      </c>
      <c r="BD40" s="348">
        <f t="shared" si="54"/>
        <v>37</v>
      </c>
      <c r="BE40" s="351">
        <f t="shared" si="55"/>
        <v>0</v>
      </c>
      <c r="BF40" s="348">
        <f t="shared" si="56"/>
        <v>0</v>
      </c>
      <c r="BG40" s="351">
        <f t="shared" si="57"/>
        <v>1</v>
      </c>
      <c r="BH40" s="348">
        <f t="shared" si="58"/>
        <v>37</v>
      </c>
      <c r="BI40" s="447">
        <v>0</v>
      </c>
      <c r="BJ40" s="463">
        <v>1</v>
      </c>
      <c r="BK40" s="352">
        <f t="shared" si="59"/>
        <v>37</v>
      </c>
      <c r="BL40" s="353">
        <f t="shared" si="60"/>
        <v>0</v>
      </c>
      <c r="BM40" s="431">
        <v>1</v>
      </c>
      <c r="BN40" s="431" t="s">
        <v>89</v>
      </c>
      <c r="BO40" s="351">
        <f t="shared" si="61"/>
        <v>1</v>
      </c>
      <c r="BP40" s="348">
        <f t="shared" si="62"/>
        <v>37</v>
      </c>
      <c r="BQ40" s="353">
        <f t="shared" si="63"/>
        <v>0</v>
      </c>
      <c r="BR40" s="458">
        <v>1</v>
      </c>
      <c r="BS40" s="348">
        <f t="shared" si="64"/>
        <v>37</v>
      </c>
      <c r="BT40" s="447">
        <v>2</v>
      </c>
      <c r="BU40" s="351">
        <f t="shared" si="65"/>
        <v>1</v>
      </c>
      <c r="BV40" s="353">
        <f t="shared" si="66"/>
        <v>0</v>
      </c>
      <c r="BW40" s="451">
        <v>1</v>
      </c>
      <c r="BX40" s="473"/>
      <c r="BY40" s="475">
        <v>41695</v>
      </c>
      <c r="BZ40" s="663" t="s">
        <v>823</v>
      </c>
      <c r="CA40" s="666">
        <v>0.3</v>
      </c>
      <c r="CB40" s="354" t="str">
        <f t="shared" si="67"/>
        <v>To be realised</v>
      </c>
      <c r="CC40" s="431">
        <v>5</v>
      </c>
      <c r="CD40" s="431">
        <v>2</v>
      </c>
      <c r="CE40" s="355">
        <f t="shared" si="68"/>
        <v>12</v>
      </c>
      <c r="CF40" s="356">
        <f t="shared" si="69"/>
        <v>0</v>
      </c>
      <c r="CG40" s="348">
        <f t="shared" si="70"/>
        <v>0</v>
      </c>
      <c r="CH40" s="370">
        <f t="shared" si="71"/>
        <v>21</v>
      </c>
      <c r="CI40" s="441"/>
      <c r="CJ40" s="451">
        <v>0</v>
      </c>
      <c r="CK40" s="372">
        <f t="shared" si="72"/>
        <v>0</v>
      </c>
      <c r="CL40" s="441"/>
      <c r="CM40" s="357" t="str">
        <f t="shared" si="73"/>
        <v>No coverage</v>
      </c>
      <c r="CN40" s="447">
        <v>0</v>
      </c>
      <c r="CO40" s="753" t="s">
        <v>65</v>
      </c>
      <c r="CP40" s="482" t="s">
        <v>867</v>
      </c>
    </row>
    <row r="41" spans="2:94" s="36" customFormat="1" ht="30.75" customHeight="1" x14ac:dyDescent="0.2">
      <c r="B41" s="438" t="s">
        <v>107</v>
      </c>
      <c r="C41" s="430" t="s">
        <v>529</v>
      </c>
      <c r="D41" s="430" t="s">
        <v>256</v>
      </c>
      <c r="E41" s="430" t="s">
        <v>121</v>
      </c>
      <c r="F41" s="430">
        <v>96.353030000000004</v>
      </c>
      <c r="G41" s="430">
        <v>25.668399999999998</v>
      </c>
      <c r="H41" s="430" t="s">
        <v>442</v>
      </c>
      <c r="I41" s="430" t="s">
        <v>213</v>
      </c>
      <c r="J41" s="430" t="s">
        <v>813</v>
      </c>
      <c r="K41" s="430" t="s">
        <v>800</v>
      </c>
      <c r="L41" s="721">
        <v>9</v>
      </c>
      <c r="M41" s="721">
        <v>40</v>
      </c>
      <c r="N41" s="431">
        <v>25</v>
      </c>
      <c r="O41" s="660">
        <v>40</v>
      </c>
      <c r="P41" s="796" t="str">
        <f t="shared" si="37"/>
        <v>1. Small</v>
      </c>
      <c r="Q41" s="797" t="s">
        <v>253</v>
      </c>
      <c r="R41" s="432" t="s">
        <v>275</v>
      </c>
      <c r="S41" s="793" t="s">
        <v>275</v>
      </c>
      <c r="T41" s="365" t="str">
        <f t="shared" si="38"/>
        <v>Covered</v>
      </c>
      <c r="U41" s="437">
        <v>42456</v>
      </c>
      <c r="V41" s="784" t="s">
        <v>252</v>
      </c>
      <c r="W41" s="363" t="str">
        <f t="shared" si="39"/>
        <v>Documented</v>
      </c>
      <c r="X41" s="441">
        <v>0</v>
      </c>
      <c r="Y41" s="431">
        <v>0</v>
      </c>
      <c r="Z41" s="660" t="s">
        <v>18</v>
      </c>
      <c r="AA41" s="442" t="s">
        <v>19</v>
      </c>
      <c r="AB41" s="441">
        <v>0</v>
      </c>
      <c r="AC41" s="447">
        <v>0</v>
      </c>
      <c r="AD41" s="831">
        <v>3750</v>
      </c>
      <c r="AE41" s="454">
        <v>0</v>
      </c>
      <c r="AF41" s="463">
        <v>0</v>
      </c>
      <c r="AG41" s="455"/>
      <c r="AH41" s="368">
        <f t="shared" si="40"/>
        <v>1</v>
      </c>
      <c r="AI41" s="346">
        <f t="shared" si="41"/>
        <v>40</v>
      </c>
      <c r="AJ41" s="347">
        <f t="shared" si="42"/>
        <v>1</v>
      </c>
      <c r="AK41" s="348">
        <f t="shared" si="43"/>
        <v>40</v>
      </c>
      <c r="AL41" s="345">
        <f t="shared" si="44"/>
        <v>1</v>
      </c>
      <c r="AM41" s="348">
        <f t="shared" si="45"/>
        <v>40</v>
      </c>
      <c r="AN41" s="349" t="str">
        <f t="shared" si="46"/>
        <v>80-100%</v>
      </c>
      <c r="AO41" s="345">
        <f t="shared" si="47"/>
        <v>0</v>
      </c>
      <c r="AP41" s="350">
        <f t="shared" si="48"/>
        <v>0</v>
      </c>
      <c r="AQ41" s="348">
        <f t="shared" si="49"/>
        <v>0.1</v>
      </c>
      <c r="AR41" s="348">
        <f t="shared" si="50"/>
        <v>0</v>
      </c>
      <c r="AS41" s="348">
        <f t="shared" si="51"/>
        <v>0</v>
      </c>
      <c r="AT41" s="458">
        <v>1</v>
      </c>
      <c r="AU41" s="459">
        <f t="shared" si="52"/>
        <v>40</v>
      </c>
      <c r="AV41" s="448"/>
      <c r="AW41" s="813">
        <v>6</v>
      </c>
      <c r="AX41" s="449">
        <v>0</v>
      </c>
      <c r="AY41" s="431"/>
      <c r="AZ41" s="431">
        <v>8</v>
      </c>
      <c r="BA41" s="431" t="s">
        <v>888</v>
      </c>
      <c r="BB41" s="442" t="s">
        <v>289</v>
      </c>
      <c r="BC41" s="810">
        <f t="shared" si="53"/>
        <v>1</v>
      </c>
      <c r="BD41" s="348">
        <f t="shared" si="54"/>
        <v>40</v>
      </c>
      <c r="BE41" s="351">
        <f t="shared" si="55"/>
        <v>0</v>
      </c>
      <c r="BF41" s="348">
        <f t="shared" si="56"/>
        <v>0</v>
      </c>
      <c r="BG41" s="351">
        <f t="shared" si="57"/>
        <v>1</v>
      </c>
      <c r="BH41" s="348">
        <f t="shared" si="58"/>
        <v>40</v>
      </c>
      <c r="BI41" s="447">
        <v>0</v>
      </c>
      <c r="BJ41" s="463">
        <v>1</v>
      </c>
      <c r="BK41" s="352">
        <f t="shared" si="59"/>
        <v>40</v>
      </c>
      <c r="BL41" s="353">
        <f t="shared" si="60"/>
        <v>0</v>
      </c>
      <c r="BM41" s="431">
        <v>1</v>
      </c>
      <c r="BN41" s="431" t="s">
        <v>89</v>
      </c>
      <c r="BO41" s="351">
        <f t="shared" si="61"/>
        <v>1</v>
      </c>
      <c r="BP41" s="348">
        <f t="shared" si="62"/>
        <v>40</v>
      </c>
      <c r="BQ41" s="353">
        <f t="shared" si="63"/>
        <v>0</v>
      </c>
      <c r="BR41" s="458">
        <v>1</v>
      </c>
      <c r="BS41" s="348">
        <f t="shared" si="64"/>
        <v>40</v>
      </c>
      <c r="BT41" s="447">
        <v>2</v>
      </c>
      <c r="BU41" s="351">
        <f t="shared" si="65"/>
        <v>1</v>
      </c>
      <c r="BV41" s="353">
        <f t="shared" si="66"/>
        <v>0</v>
      </c>
      <c r="BW41" s="451">
        <v>1</v>
      </c>
      <c r="BX41" s="473"/>
      <c r="BY41" s="475">
        <v>41695</v>
      </c>
      <c r="BZ41" s="663" t="s">
        <v>823</v>
      </c>
      <c r="CA41" s="666">
        <v>0.3</v>
      </c>
      <c r="CB41" s="354" t="str">
        <f t="shared" si="67"/>
        <v>To be realised</v>
      </c>
      <c r="CC41" s="431">
        <v>6</v>
      </c>
      <c r="CD41" s="431">
        <v>2</v>
      </c>
      <c r="CE41" s="355">
        <f t="shared" si="68"/>
        <v>9</v>
      </c>
      <c r="CF41" s="356">
        <f t="shared" si="69"/>
        <v>0</v>
      </c>
      <c r="CG41" s="348">
        <f t="shared" si="70"/>
        <v>0</v>
      </c>
      <c r="CH41" s="370">
        <f t="shared" si="71"/>
        <v>21</v>
      </c>
      <c r="CI41" s="441"/>
      <c r="CJ41" s="451">
        <v>0</v>
      </c>
      <c r="CK41" s="372">
        <f t="shared" si="72"/>
        <v>0</v>
      </c>
      <c r="CL41" s="441"/>
      <c r="CM41" s="357" t="str">
        <f t="shared" si="73"/>
        <v>No coverage</v>
      </c>
      <c r="CN41" s="447">
        <v>0</v>
      </c>
      <c r="CO41" s="753" t="s">
        <v>65</v>
      </c>
      <c r="CP41" s="482" t="s">
        <v>867</v>
      </c>
    </row>
    <row r="42" spans="2:94" s="36" customFormat="1" ht="30.75" customHeight="1" x14ac:dyDescent="0.2">
      <c r="B42" s="438" t="s">
        <v>107</v>
      </c>
      <c r="C42" s="430" t="s">
        <v>530</v>
      </c>
      <c r="D42" s="430" t="s">
        <v>256</v>
      </c>
      <c r="E42" s="430" t="s">
        <v>122</v>
      </c>
      <c r="F42" s="430">
        <v>96.286680000000004</v>
      </c>
      <c r="G42" s="430">
        <v>25.577559999999998</v>
      </c>
      <c r="H42" s="430" t="s">
        <v>442</v>
      </c>
      <c r="I42" s="430" t="s">
        <v>213</v>
      </c>
      <c r="J42" s="430" t="s">
        <v>813</v>
      </c>
      <c r="K42" s="430" t="s">
        <v>800</v>
      </c>
      <c r="L42" s="721">
        <v>38</v>
      </c>
      <c r="M42" s="721">
        <v>186</v>
      </c>
      <c r="N42" s="431">
        <v>162</v>
      </c>
      <c r="O42" s="660">
        <v>190</v>
      </c>
      <c r="P42" s="796" t="str">
        <f t="shared" si="37"/>
        <v>1. Small</v>
      </c>
      <c r="Q42" s="797" t="s">
        <v>253</v>
      </c>
      <c r="R42" s="432" t="s">
        <v>275</v>
      </c>
      <c r="S42" s="793" t="s">
        <v>275</v>
      </c>
      <c r="T42" s="365" t="str">
        <f t="shared" si="38"/>
        <v>Covered</v>
      </c>
      <c r="U42" s="437">
        <v>42456</v>
      </c>
      <c r="V42" s="784" t="s">
        <v>252</v>
      </c>
      <c r="W42" s="363" t="str">
        <f t="shared" si="39"/>
        <v>Documented</v>
      </c>
      <c r="X42" s="441">
        <v>0</v>
      </c>
      <c r="Y42" s="431">
        <v>0</v>
      </c>
      <c r="Z42" s="660" t="s">
        <v>19</v>
      </c>
      <c r="AA42" s="442" t="s">
        <v>19</v>
      </c>
      <c r="AB42" s="441">
        <v>0</v>
      </c>
      <c r="AC42" s="447">
        <v>0</v>
      </c>
      <c r="AD42" s="831">
        <v>4800</v>
      </c>
      <c r="AE42" s="454">
        <v>0</v>
      </c>
      <c r="AF42" s="463">
        <v>0</v>
      </c>
      <c r="AG42" s="455"/>
      <c r="AH42" s="368">
        <f t="shared" si="40"/>
        <v>1</v>
      </c>
      <c r="AI42" s="346">
        <f t="shared" si="41"/>
        <v>190</v>
      </c>
      <c r="AJ42" s="347">
        <f t="shared" si="42"/>
        <v>1</v>
      </c>
      <c r="AK42" s="348">
        <f t="shared" si="43"/>
        <v>190</v>
      </c>
      <c r="AL42" s="345">
        <f t="shared" si="44"/>
        <v>1</v>
      </c>
      <c r="AM42" s="348">
        <f t="shared" si="45"/>
        <v>190</v>
      </c>
      <c r="AN42" s="349" t="str">
        <f t="shared" si="46"/>
        <v>80-100%</v>
      </c>
      <c r="AO42" s="345">
        <f t="shared" si="47"/>
        <v>0</v>
      </c>
      <c r="AP42" s="350">
        <f t="shared" si="48"/>
        <v>0</v>
      </c>
      <c r="AQ42" s="348">
        <f t="shared" si="49"/>
        <v>0.47499999999999998</v>
      </c>
      <c r="AR42" s="348">
        <f t="shared" si="50"/>
        <v>0</v>
      </c>
      <c r="AS42" s="348">
        <f t="shared" si="51"/>
        <v>0</v>
      </c>
      <c r="AT42" s="458">
        <v>1</v>
      </c>
      <c r="AU42" s="459">
        <f t="shared" si="52"/>
        <v>190</v>
      </c>
      <c r="AV42" s="448"/>
      <c r="AW42" s="813">
        <v>0</v>
      </c>
      <c r="AX42" s="449">
        <v>0</v>
      </c>
      <c r="AY42" s="431"/>
      <c r="AZ42" s="431">
        <v>8</v>
      </c>
      <c r="BA42" s="431" t="s">
        <v>891</v>
      </c>
      <c r="BB42" s="442" t="s">
        <v>89</v>
      </c>
      <c r="BC42" s="810">
        <f t="shared" si="53"/>
        <v>0.84210526315789469</v>
      </c>
      <c r="BD42" s="348">
        <f t="shared" si="54"/>
        <v>160</v>
      </c>
      <c r="BE42" s="351">
        <f t="shared" si="55"/>
        <v>0</v>
      </c>
      <c r="BF42" s="348">
        <f t="shared" si="56"/>
        <v>0</v>
      </c>
      <c r="BG42" s="351">
        <f t="shared" si="57"/>
        <v>0.84210526315789469</v>
      </c>
      <c r="BH42" s="348">
        <f t="shared" si="58"/>
        <v>160</v>
      </c>
      <c r="BI42" s="447">
        <v>0</v>
      </c>
      <c r="BJ42" s="463">
        <v>1</v>
      </c>
      <c r="BK42" s="352">
        <f t="shared" si="59"/>
        <v>190</v>
      </c>
      <c r="BL42" s="353">
        <f t="shared" si="60"/>
        <v>1.5</v>
      </c>
      <c r="BM42" s="431">
        <v>3</v>
      </c>
      <c r="BN42" s="431" t="s">
        <v>89</v>
      </c>
      <c r="BO42" s="351">
        <f t="shared" si="61"/>
        <v>1</v>
      </c>
      <c r="BP42" s="348">
        <f t="shared" si="62"/>
        <v>190</v>
      </c>
      <c r="BQ42" s="353">
        <f t="shared" si="63"/>
        <v>0</v>
      </c>
      <c r="BR42" s="458">
        <v>1</v>
      </c>
      <c r="BS42" s="348">
        <f t="shared" si="64"/>
        <v>190</v>
      </c>
      <c r="BT42" s="447">
        <v>1</v>
      </c>
      <c r="BU42" s="351">
        <f t="shared" si="65"/>
        <v>0.52631578947368418</v>
      </c>
      <c r="BV42" s="353">
        <f t="shared" si="66"/>
        <v>0.8600000000000001</v>
      </c>
      <c r="BW42" s="451">
        <v>1</v>
      </c>
      <c r="BX42" s="473"/>
      <c r="BY42" s="475">
        <v>41695</v>
      </c>
      <c r="BZ42" s="663" t="s">
        <v>823</v>
      </c>
      <c r="CA42" s="666">
        <v>0.3</v>
      </c>
      <c r="CB42" s="354" t="str">
        <f t="shared" si="67"/>
        <v>To be realised</v>
      </c>
      <c r="CC42" s="431">
        <v>0</v>
      </c>
      <c r="CD42" s="431">
        <v>0</v>
      </c>
      <c r="CE42" s="355">
        <f t="shared" si="68"/>
        <v>38</v>
      </c>
      <c r="CF42" s="356">
        <f t="shared" si="69"/>
        <v>0</v>
      </c>
      <c r="CG42" s="348">
        <f t="shared" si="70"/>
        <v>0</v>
      </c>
      <c r="CH42" s="370">
        <f t="shared" si="71"/>
        <v>23</v>
      </c>
      <c r="CI42" s="441"/>
      <c r="CJ42" s="451">
        <v>0</v>
      </c>
      <c r="CK42" s="372">
        <f t="shared" si="72"/>
        <v>0</v>
      </c>
      <c r="CL42" s="441"/>
      <c r="CM42" s="357" t="str">
        <f t="shared" si="73"/>
        <v>No coverage</v>
      </c>
      <c r="CN42" s="447">
        <v>0</v>
      </c>
      <c r="CO42" s="753" t="s">
        <v>65</v>
      </c>
      <c r="CP42" s="482" t="s">
        <v>867</v>
      </c>
    </row>
    <row r="43" spans="2:94" s="36" customFormat="1" ht="30.75" customHeight="1" x14ac:dyDescent="0.2">
      <c r="B43" s="438" t="s">
        <v>107</v>
      </c>
      <c r="C43" s="430" t="s">
        <v>531</v>
      </c>
      <c r="D43" s="430" t="s">
        <v>256</v>
      </c>
      <c r="E43" s="430" t="s">
        <v>123</v>
      </c>
      <c r="F43" s="430">
        <v>96.306910999999999</v>
      </c>
      <c r="G43" s="430">
        <v>25.599250000000001</v>
      </c>
      <c r="H43" s="430" t="s">
        <v>442</v>
      </c>
      <c r="I43" s="430" t="s">
        <v>213</v>
      </c>
      <c r="J43" s="430" t="s">
        <v>813</v>
      </c>
      <c r="K43" s="430" t="s">
        <v>800</v>
      </c>
      <c r="L43" s="721">
        <v>17</v>
      </c>
      <c r="M43" s="721">
        <v>65</v>
      </c>
      <c r="N43" s="431">
        <v>75</v>
      </c>
      <c r="O43" s="660">
        <v>79</v>
      </c>
      <c r="P43" s="796" t="str">
        <f t="shared" si="37"/>
        <v>1. Small</v>
      </c>
      <c r="Q43" s="797" t="s">
        <v>253</v>
      </c>
      <c r="R43" s="432" t="s">
        <v>275</v>
      </c>
      <c r="S43" s="793" t="s">
        <v>275</v>
      </c>
      <c r="T43" s="365" t="str">
        <f t="shared" si="38"/>
        <v>Covered</v>
      </c>
      <c r="U43" s="437">
        <v>42456</v>
      </c>
      <c r="V43" s="784" t="s">
        <v>252</v>
      </c>
      <c r="W43" s="363" t="str">
        <f t="shared" si="39"/>
        <v>Documented</v>
      </c>
      <c r="X43" s="441">
        <v>0</v>
      </c>
      <c r="Y43" s="431">
        <v>0</v>
      </c>
      <c r="Z43" s="660" t="s">
        <v>18</v>
      </c>
      <c r="AA43" s="442" t="s">
        <v>19</v>
      </c>
      <c r="AB43" s="441">
        <v>0</v>
      </c>
      <c r="AC43" s="447">
        <v>0</v>
      </c>
      <c r="AD43" s="831">
        <v>5600</v>
      </c>
      <c r="AE43" s="454">
        <v>0</v>
      </c>
      <c r="AF43" s="463">
        <v>0</v>
      </c>
      <c r="AG43" s="455"/>
      <c r="AH43" s="368">
        <f t="shared" si="40"/>
        <v>1</v>
      </c>
      <c r="AI43" s="346">
        <f t="shared" si="41"/>
        <v>79</v>
      </c>
      <c r="AJ43" s="347">
        <f t="shared" si="42"/>
        <v>1</v>
      </c>
      <c r="AK43" s="348">
        <f t="shared" si="43"/>
        <v>79</v>
      </c>
      <c r="AL43" s="345">
        <f t="shared" si="44"/>
        <v>1</v>
      </c>
      <c r="AM43" s="348">
        <f t="shared" si="45"/>
        <v>79</v>
      </c>
      <c r="AN43" s="349" t="str">
        <f t="shared" si="46"/>
        <v>80-100%</v>
      </c>
      <c r="AO43" s="345">
        <f t="shared" si="47"/>
        <v>0</v>
      </c>
      <c r="AP43" s="350">
        <f t="shared" si="48"/>
        <v>0</v>
      </c>
      <c r="AQ43" s="348">
        <f t="shared" si="49"/>
        <v>0.19750000000000001</v>
      </c>
      <c r="AR43" s="348">
        <f t="shared" si="50"/>
        <v>0</v>
      </c>
      <c r="AS43" s="348">
        <f t="shared" si="51"/>
        <v>0</v>
      </c>
      <c r="AT43" s="458">
        <v>1</v>
      </c>
      <c r="AU43" s="459">
        <f t="shared" si="52"/>
        <v>79</v>
      </c>
      <c r="AV43" s="448"/>
      <c r="AW43" s="813">
        <v>0</v>
      </c>
      <c r="AX43" s="449"/>
      <c r="AY43" s="431"/>
      <c r="AZ43" s="431">
        <v>2</v>
      </c>
      <c r="BA43" s="431" t="s">
        <v>888</v>
      </c>
      <c r="BB43" s="442" t="s">
        <v>289</v>
      </c>
      <c r="BC43" s="810">
        <f t="shared" si="53"/>
        <v>0.50632911392405067</v>
      </c>
      <c r="BD43" s="348">
        <f t="shared" si="54"/>
        <v>40</v>
      </c>
      <c r="BE43" s="351">
        <f t="shared" si="55"/>
        <v>0</v>
      </c>
      <c r="BF43" s="348">
        <f t="shared" si="56"/>
        <v>0</v>
      </c>
      <c r="BG43" s="351">
        <f t="shared" si="57"/>
        <v>0.50632911392405067</v>
      </c>
      <c r="BH43" s="348">
        <f t="shared" si="58"/>
        <v>40</v>
      </c>
      <c r="BI43" s="447">
        <v>0</v>
      </c>
      <c r="BJ43" s="463">
        <v>1</v>
      </c>
      <c r="BK43" s="352">
        <f t="shared" si="59"/>
        <v>79</v>
      </c>
      <c r="BL43" s="353">
        <f t="shared" si="60"/>
        <v>1.9500000000000002</v>
      </c>
      <c r="BM43" s="431">
        <v>0</v>
      </c>
      <c r="BN43" s="431" t="s">
        <v>290</v>
      </c>
      <c r="BO43" s="351">
        <f t="shared" si="61"/>
        <v>0</v>
      </c>
      <c r="BP43" s="348">
        <f t="shared" si="62"/>
        <v>0</v>
      </c>
      <c r="BQ43" s="353">
        <f t="shared" si="63"/>
        <v>0.65</v>
      </c>
      <c r="BR43" s="458">
        <v>1</v>
      </c>
      <c r="BS43" s="348">
        <f t="shared" si="64"/>
        <v>79</v>
      </c>
      <c r="BT43" s="447">
        <v>1</v>
      </c>
      <c r="BU43" s="351">
        <f t="shared" si="65"/>
        <v>1</v>
      </c>
      <c r="BV43" s="353">
        <f t="shared" si="66"/>
        <v>0</v>
      </c>
      <c r="BW43" s="451">
        <v>1</v>
      </c>
      <c r="BX43" s="473" t="s">
        <v>837</v>
      </c>
      <c r="BY43" s="475">
        <v>41695</v>
      </c>
      <c r="BZ43" s="663" t="s">
        <v>821</v>
      </c>
      <c r="CA43" s="666">
        <v>0.3</v>
      </c>
      <c r="CB43" s="354" t="str">
        <f t="shared" si="67"/>
        <v>To be realised</v>
      </c>
      <c r="CC43" s="431"/>
      <c r="CD43" s="431"/>
      <c r="CE43" s="355">
        <f t="shared" si="68"/>
        <v>17</v>
      </c>
      <c r="CF43" s="356">
        <f t="shared" si="69"/>
        <v>0</v>
      </c>
      <c r="CG43" s="348">
        <f t="shared" si="70"/>
        <v>0</v>
      </c>
      <c r="CH43" s="370">
        <f t="shared" si="71"/>
        <v>23</v>
      </c>
      <c r="CI43" s="441"/>
      <c r="CJ43" s="451">
        <v>0</v>
      </c>
      <c r="CK43" s="372">
        <f t="shared" si="72"/>
        <v>0</v>
      </c>
      <c r="CL43" s="441"/>
      <c r="CM43" s="357" t="str">
        <f t="shared" si="73"/>
        <v>No coverage</v>
      </c>
      <c r="CN43" s="447">
        <v>0</v>
      </c>
      <c r="CO43" s="753" t="s">
        <v>65</v>
      </c>
      <c r="CP43" s="482" t="s">
        <v>867</v>
      </c>
    </row>
    <row r="44" spans="2:94" s="36" customFormat="1" ht="30.75" customHeight="1" x14ac:dyDescent="0.2">
      <c r="B44" s="438" t="s">
        <v>712</v>
      </c>
      <c r="C44" s="430" t="s">
        <v>762</v>
      </c>
      <c r="D44" s="430" t="s">
        <v>267</v>
      </c>
      <c r="E44" s="430" t="s">
        <v>763</v>
      </c>
      <c r="F44" s="430"/>
      <c r="G44" s="430"/>
      <c r="H44" s="430" t="s">
        <v>442</v>
      </c>
      <c r="I44" s="430" t="s">
        <v>213</v>
      </c>
      <c r="J44" s="430" t="s">
        <v>814</v>
      </c>
      <c r="K44" s="430" t="s">
        <v>800</v>
      </c>
      <c r="L44" s="721">
        <v>42</v>
      </c>
      <c r="M44" s="721">
        <v>273</v>
      </c>
      <c r="N44" s="431">
        <v>217</v>
      </c>
      <c r="O44" s="660">
        <v>217</v>
      </c>
      <c r="P44" s="796" t="str">
        <f t="shared" si="37"/>
        <v>1. Small</v>
      </c>
      <c r="Q44" s="797" t="s">
        <v>923</v>
      </c>
      <c r="R44" s="432" t="s">
        <v>234</v>
      </c>
      <c r="S44" s="793" t="s">
        <v>232</v>
      </c>
      <c r="T44" s="365" t="str">
        <f t="shared" si="38"/>
        <v>Covered</v>
      </c>
      <c r="U44" s="437">
        <v>42521</v>
      </c>
      <c r="V44" s="784" t="s">
        <v>252</v>
      </c>
      <c r="W44" s="363" t="str">
        <f t="shared" si="39"/>
        <v>Documented</v>
      </c>
      <c r="X44" s="441">
        <v>0</v>
      </c>
      <c r="Y44" s="431">
        <v>0</v>
      </c>
      <c r="Z44" s="660" t="s">
        <v>19</v>
      </c>
      <c r="AA44" s="442" t="s">
        <v>19</v>
      </c>
      <c r="AB44" s="441">
        <v>2</v>
      </c>
      <c r="AC44" s="447">
        <v>0</v>
      </c>
      <c r="AD44" s="831">
        <v>4000</v>
      </c>
      <c r="AE44" s="454">
        <v>1</v>
      </c>
      <c r="AF44" s="463">
        <v>1</v>
      </c>
      <c r="AG44" s="455" t="s">
        <v>830</v>
      </c>
      <c r="AH44" s="368">
        <f t="shared" si="40"/>
        <v>1</v>
      </c>
      <c r="AI44" s="346">
        <f t="shared" si="41"/>
        <v>217</v>
      </c>
      <c r="AJ44" s="347">
        <f t="shared" si="42"/>
        <v>1</v>
      </c>
      <c r="AK44" s="348">
        <f t="shared" si="43"/>
        <v>217</v>
      </c>
      <c r="AL44" s="345">
        <f t="shared" si="44"/>
        <v>1</v>
      </c>
      <c r="AM44" s="348">
        <f t="shared" si="45"/>
        <v>217</v>
      </c>
      <c r="AN44" s="349" t="str">
        <f t="shared" si="46"/>
        <v>80-100%</v>
      </c>
      <c r="AO44" s="345">
        <f t="shared" si="47"/>
        <v>0</v>
      </c>
      <c r="AP44" s="350">
        <f t="shared" si="48"/>
        <v>0</v>
      </c>
      <c r="AQ44" s="348">
        <f t="shared" si="49"/>
        <v>0</v>
      </c>
      <c r="AR44" s="348">
        <f t="shared" si="50"/>
        <v>42</v>
      </c>
      <c r="AS44" s="348">
        <f t="shared" si="51"/>
        <v>217</v>
      </c>
      <c r="AT44" s="458">
        <v>1</v>
      </c>
      <c r="AU44" s="459">
        <f t="shared" si="52"/>
        <v>217</v>
      </c>
      <c r="AV44" s="448"/>
      <c r="AW44" s="813">
        <v>20</v>
      </c>
      <c r="AX44" s="449">
        <v>0</v>
      </c>
      <c r="AY44" s="431"/>
      <c r="AZ44" s="431">
        <v>9</v>
      </c>
      <c r="BA44" s="431"/>
      <c r="BB44" s="442" t="s">
        <v>290</v>
      </c>
      <c r="BC44" s="810">
        <f t="shared" si="53"/>
        <v>0.82949308755760365</v>
      </c>
      <c r="BD44" s="348">
        <f t="shared" si="54"/>
        <v>180</v>
      </c>
      <c r="BE44" s="351">
        <f t="shared" si="55"/>
        <v>0</v>
      </c>
      <c r="BF44" s="348">
        <f t="shared" si="56"/>
        <v>0</v>
      </c>
      <c r="BG44" s="351">
        <f t="shared" si="57"/>
        <v>0.82949308755760365</v>
      </c>
      <c r="BH44" s="348">
        <f t="shared" si="58"/>
        <v>180</v>
      </c>
      <c r="BI44" s="447">
        <v>0</v>
      </c>
      <c r="BJ44" s="463">
        <v>1</v>
      </c>
      <c r="BK44" s="352">
        <f t="shared" si="59"/>
        <v>217</v>
      </c>
      <c r="BL44" s="353">
        <f t="shared" si="60"/>
        <v>1.8499999999999996</v>
      </c>
      <c r="BM44" s="431">
        <v>0</v>
      </c>
      <c r="BN44" s="431" t="s">
        <v>89</v>
      </c>
      <c r="BO44" s="351">
        <f t="shared" si="61"/>
        <v>0</v>
      </c>
      <c r="BP44" s="348">
        <f t="shared" si="62"/>
        <v>0</v>
      </c>
      <c r="BQ44" s="353">
        <f t="shared" si="63"/>
        <v>2.73</v>
      </c>
      <c r="BR44" s="463">
        <v>0</v>
      </c>
      <c r="BS44" s="348">
        <f t="shared" si="64"/>
        <v>0</v>
      </c>
      <c r="BT44" s="431">
        <v>8</v>
      </c>
      <c r="BU44" s="351">
        <f t="shared" si="65"/>
        <v>1</v>
      </c>
      <c r="BV44" s="353">
        <f t="shared" si="66"/>
        <v>0</v>
      </c>
      <c r="BW44" s="455">
        <v>1</v>
      </c>
      <c r="BX44" s="473"/>
      <c r="BY44" s="475">
        <v>42125</v>
      </c>
      <c r="BZ44" s="663" t="s">
        <v>821</v>
      </c>
      <c r="CA44" s="666"/>
      <c r="CB44" s="354">
        <f t="shared" si="67"/>
        <v>42490</v>
      </c>
      <c r="CC44" s="431">
        <v>46</v>
      </c>
      <c r="CD44" s="431">
        <v>7</v>
      </c>
      <c r="CE44" s="355">
        <f t="shared" si="68"/>
        <v>0</v>
      </c>
      <c r="CF44" s="356">
        <f t="shared" si="69"/>
        <v>1</v>
      </c>
      <c r="CG44" s="348">
        <f t="shared" si="70"/>
        <v>217</v>
      </c>
      <c r="CH44" s="370">
        <f t="shared" si="71"/>
        <v>2</v>
      </c>
      <c r="CI44" s="449" t="s">
        <v>934</v>
      </c>
      <c r="CJ44" s="455">
        <v>0</v>
      </c>
      <c r="CK44" s="372">
        <f t="shared" si="72"/>
        <v>0</v>
      </c>
      <c r="CL44" s="449">
        <v>2</v>
      </c>
      <c r="CM44" s="357" t="str">
        <f t="shared" si="73"/>
        <v>Excellent coverage</v>
      </c>
      <c r="CN44" s="431">
        <v>0</v>
      </c>
      <c r="CO44" s="753" t="s">
        <v>292</v>
      </c>
      <c r="CP44" s="482"/>
    </row>
    <row r="45" spans="2:94" s="36" customFormat="1" ht="30.75" customHeight="1" x14ac:dyDescent="0.2">
      <c r="B45" s="438" t="s">
        <v>712</v>
      </c>
      <c r="C45" s="430" t="s">
        <v>538</v>
      </c>
      <c r="D45" s="430" t="s">
        <v>267</v>
      </c>
      <c r="E45" s="430" t="s">
        <v>226</v>
      </c>
      <c r="F45" s="430">
        <v>98.128</v>
      </c>
      <c r="G45" s="430">
        <v>23.24</v>
      </c>
      <c r="H45" s="430" t="s">
        <v>442</v>
      </c>
      <c r="I45" s="430" t="s">
        <v>213</v>
      </c>
      <c r="J45" s="430" t="s">
        <v>814</v>
      </c>
      <c r="K45" s="430" t="s">
        <v>800</v>
      </c>
      <c r="L45" s="721">
        <v>54</v>
      </c>
      <c r="M45" s="721">
        <v>392</v>
      </c>
      <c r="N45" s="431">
        <v>307</v>
      </c>
      <c r="O45" s="660">
        <v>307</v>
      </c>
      <c r="P45" s="796" t="str">
        <f t="shared" si="37"/>
        <v>2. Medium</v>
      </c>
      <c r="Q45" s="797" t="s">
        <v>924</v>
      </c>
      <c r="R45" s="432" t="s">
        <v>281</v>
      </c>
      <c r="S45" s="793" t="s">
        <v>232</v>
      </c>
      <c r="T45" s="365" t="str">
        <f t="shared" si="38"/>
        <v>Covered</v>
      </c>
      <c r="U45" s="437">
        <v>42460</v>
      </c>
      <c r="V45" s="784" t="s">
        <v>252</v>
      </c>
      <c r="W45" s="363" t="str">
        <f t="shared" si="39"/>
        <v>Documented</v>
      </c>
      <c r="X45" s="441">
        <v>0</v>
      </c>
      <c r="Y45" s="431">
        <v>0</v>
      </c>
      <c r="Z45" s="660" t="s">
        <v>19</v>
      </c>
      <c r="AA45" s="442" t="s">
        <v>19</v>
      </c>
      <c r="AB45" s="441">
        <v>0</v>
      </c>
      <c r="AC45" s="447">
        <v>0</v>
      </c>
      <c r="AD45" s="831">
        <v>17000</v>
      </c>
      <c r="AE45" s="454">
        <v>0</v>
      </c>
      <c r="AF45" s="463">
        <v>0</v>
      </c>
      <c r="AG45" s="455"/>
      <c r="AH45" s="368">
        <f t="shared" si="40"/>
        <v>1</v>
      </c>
      <c r="AI45" s="346">
        <f t="shared" si="41"/>
        <v>307</v>
      </c>
      <c r="AJ45" s="347">
        <f t="shared" si="42"/>
        <v>1</v>
      </c>
      <c r="AK45" s="348">
        <f t="shared" si="43"/>
        <v>307</v>
      </c>
      <c r="AL45" s="345">
        <f t="shared" si="44"/>
        <v>1</v>
      </c>
      <c r="AM45" s="348">
        <f t="shared" si="45"/>
        <v>307</v>
      </c>
      <c r="AN45" s="349" t="str">
        <f t="shared" si="46"/>
        <v>80-100%</v>
      </c>
      <c r="AO45" s="345">
        <f t="shared" si="47"/>
        <v>0</v>
      </c>
      <c r="AP45" s="350">
        <f t="shared" si="48"/>
        <v>0</v>
      </c>
      <c r="AQ45" s="348">
        <f t="shared" si="49"/>
        <v>0.76749999999999996</v>
      </c>
      <c r="AR45" s="348">
        <f t="shared" si="50"/>
        <v>0</v>
      </c>
      <c r="AS45" s="348">
        <f t="shared" si="51"/>
        <v>0</v>
      </c>
      <c r="AT45" s="458">
        <v>1</v>
      </c>
      <c r="AU45" s="459">
        <f t="shared" si="52"/>
        <v>307</v>
      </c>
      <c r="AV45" s="448" t="s">
        <v>770</v>
      </c>
      <c r="AW45" s="813">
        <v>10</v>
      </c>
      <c r="AX45" s="449">
        <v>27</v>
      </c>
      <c r="AY45" s="431"/>
      <c r="AZ45" s="431">
        <v>0</v>
      </c>
      <c r="BA45" s="431"/>
      <c r="BB45" s="442" t="s">
        <v>89</v>
      </c>
      <c r="BC45" s="810">
        <f t="shared" si="53"/>
        <v>1</v>
      </c>
      <c r="BD45" s="348">
        <f t="shared" si="54"/>
        <v>307</v>
      </c>
      <c r="BE45" s="351">
        <f t="shared" si="55"/>
        <v>1</v>
      </c>
      <c r="BF45" s="348">
        <f t="shared" si="56"/>
        <v>307</v>
      </c>
      <c r="BG45" s="351">
        <f t="shared" si="57"/>
        <v>0</v>
      </c>
      <c r="BH45" s="348">
        <f t="shared" si="58"/>
        <v>0</v>
      </c>
      <c r="BI45" s="447">
        <v>0</v>
      </c>
      <c r="BJ45" s="463">
        <v>1</v>
      </c>
      <c r="BK45" s="352">
        <f t="shared" si="59"/>
        <v>307</v>
      </c>
      <c r="BL45" s="353">
        <f t="shared" si="60"/>
        <v>15.35</v>
      </c>
      <c r="BM45" s="431">
        <v>0</v>
      </c>
      <c r="BN45" s="431" t="s">
        <v>89</v>
      </c>
      <c r="BO45" s="351">
        <f t="shared" si="61"/>
        <v>0</v>
      </c>
      <c r="BP45" s="348">
        <f t="shared" si="62"/>
        <v>0</v>
      </c>
      <c r="BQ45" s="353">
        <f t="shared" si="63"/>
        <v>3.92</v>
      </c>
      <c r="BR45" s="463">
        <v>0</v>
      </c>
      <c r="BS45" s="348">
        <f t="shared" si="64"/>
        <v>0</v>
      </c>
      <c r="BT45" s="431">
        <v>6</v>
      </c>
      <c r="BU45" s="351">
        <f t="shared" si="65"/>
        <v>1</v>
      </c>
      <c r="BV45" s="353">
        <f t="shared" si="66"/>
        <v>0</v>
      </c>
      <c r="BW45" s="455">
        <v>1</v>
      </c>
      <c r="BX45" s="473" t="s">
        <v>914</v>
      </c>
      <c r="BY45" s="475"/>
      <c r="BZ45" s="663" t="s">
        <v>821</v>
      </c>
      <c r="CA45" s="666"/>
      <c r="CB45" s="354" t="str">
        <f t="shared" si="67"/>
        <v>To be realised</v>
      </c>
      <c r="CC45" s="431">
        <v>0</v>
      </c>
      <c r="CD45" s="431">
        <v>8</v>
      </c>
      <c r="CE45" s="355">
        <f t="shared" si="68"/>
        <v>54</v>
      </c>
      <c r="CF45" s="356">
        <f t="shared" si="69"/>
        <v>0</v>
      </c>
      <c r="CG45" s="348">
        <f t="shared" si="70"/>
        <v>0</v>
      </c>
      <c r="CH45" s="370" t="str">
        <f t="shared" si="71"/>
        <v>Column BN to be completed</v>
      </c>
      <c r="CI45" s="449" t="s">
        <v>934</v>
      </c>
      <c r="CJ45" s="455">
        <v>0</v>
      </c>
      <c r="CK45" s="372">
        <f t="shared" si="72"/>
        <v>0</v>
      </c>
      <c r="CL45" s="449">
        <v>1</v>
      </c>
      <c r="CM45" s="357" t="str">
        <f t="shared" si="73"/>
        <v>Excellent coverage</v>
      </c>
      <c r="CN45" s="431">
        <v>0</v>
      </c>
      <c r="CO45" s="753" t="s">
        <v>292</v>
      </c>
      <c r="CP45" s="482"/>
    </row>
    <row r="46" spans="2:94" s="36" customFormat="1" ht="30.75" customHeight="1" x14ac:dyDescent="0.2">
      <c r="B46" s="438" t="s">
        <v>124</v>
      </c>
      <c r="C46" s="430" t="s">
        <v>532</v>
      </c>
      <c r="D46" s="430" t="s">
        <v>313</v>
      </c>
      <c r="E46" s="430" t="s">
        <v>125</v>
      </c>
      <c r="F46" s="430">
        <v>98.144502500000002</v>
      </c>
      <c r="G46" s="430">
        <v>26.890058</v>
      </c>
      <c r="H46" s="430" t="s">
        <v>442</v>
      </c>
      <c r="I46" s="430" t="s">
        <v>213</v>
      </c>
      <c r="J46" s="430" t="s">
        <v>814</v>
      </c>
      <c r="K46" s="430" t="s">
        <v>800</v>
      </c>
      <c r="L46" s="721">
        <v>11</v>
      </c>
      <c r="M46" s="721">
        <v>17</v>
      </c>
      <c r="N46" s="431">
        <v>17</v>
      </c>
      <c r="O46" s="660">
        <v>17</v>
      </c>
      <c r="P46" s="796" t="str">
        <f t="shared" si="37"/>
        <v>1. Small</v>
      </c>
      <c r="Q46" s="797"/>
      <c r="R46" s="432"/>
      <c r="S46" s="793" t="s">
        <v>299</v>
      </c>
      <c r="T46" s="365" t="str">
        <f t="shared" si="38"/>
        <v>Not covered</v>
      </c>
      <c r="U46" s="437" t="s">
        <v>619</v>
      </c>
      <c r="V46" s="783" t="s">
        <v>254</v>
      </c>
      <c r="W46" s="363" t="str">
        <f t="shared" si="39"/>
        <v>Not documented</v>
      </c>
      <c r="X46" s="441">
        <v>0</v>
      </c>
      <c r="Y46" s="431">
        <v>0</v>
      </c>
      <c r="Z46" s="660" t="s">
        <v>19</v>
      </c>
      <c r="AA46" s="442" t="s">
        <v>19</v>
      </c>
      <c r="AB46" s="441">
        <v>0</v>
      </c>
      <c r="AC46" s="447">
        <v>0</v>
      </c>
      <c r="AD46" s="831">
        <v>0</v>
      </c>
      <c r="AE46" s="454">
        <v>0</v>
      </c>
      <c r="AF46" s="463">
        <v>0</v>
      </c>
      <c r="AG46" s="455"/>
      <c r="AH46" s="368">
        <f t="shared" si="40"/>
        <v>0</v>
      </c>
      <c r="AI46" s="346">
        <f t="shared" si="41"/>
        <v>0</v>
      </c>
      <c r="AJ46" s="347">
        <f t="shared" si="42"/>
        <v>0</v>
      </c>
      <c r="AK46" s="348">
        <f t="shared" si="43"/>
        <v>0</v>
      </c>
      <c r="AL46" s="345">
        <f t="shared" si="44"/>
        <v>0</v>
      </c>
      <c r="AM46" s="348">
        <f t="shared" si="45"/>
        <v>0</v>
      </c>
      <c r="AN46" s="349" t="str">
        <f t="shared" si="46"/>
        <v>0-10%</v>
      </c>
      <c r="AO46" s="345">
        <f t="shared" si="47"/>
        <v>0</v>
      </c>
      <c r="AP46" s="350">
        <f t="shared" si="48"/>
        <v>0</v>
      </c>
      <c r="AQ46" s="348">
        <f t="shared" si="49"/>
        <v>4.2500000000000003E-2</v>
      </c>
      <c r="AR46" s="348">
        <f t="shared" si="50"/>
        <v>0</v>
      </c>
      <c r="AS46" s="348">
        <f t="shared" si="51"/>
        <v>0</v>
      </c>
      <c r="AT46" s="458">
        <v>0</v>
      </c>
      <c r="AU46" s="459">
        <f t="shared" si="52"/>
        <v>0</v>
      </c>
      <c r="AV46" s="448" t="s">
        <v>691</v>
      </c>
      <c r="AW46" s="813">
        <v>0</v>
      </c>
      <c r="AX46" s="449">
        <v>0</v>
      </c>
      <c r="AY46" s="431"/>
      <c r="AZ46" s="431">
        <v>0</v>
      </c>
      <c r="BA46" s="431"/>
      <c r="BB46" s="442" t="s">
        <v>89</v>
      </c>
      <c r="BC46" s="810">
        <f t="shared" si="53"/>
        <v>0</v>
      </c>
      <c r="BD46" s="348">
        <f t="shared" si="54"/>
        <v>0</v>
      </c>
      <c r="BE46" s="351">
        <f t="shared" si="55"/>
        <v>0</v>
      </c>
      <c r="BF46" s="348">
        <f t="shared" si="56"/>
        <v>0</v>
      </c>
      <c r="BG46" s="351">
        <f t="shared" si="57"/>
        <v>0</v>
      </c>
      <c r="BH46" s="348">
        <f t="shared" si="58"/>
        <v>0</v>
      </c>
      <c r="BI46" s="447">
        <v>0</v>
      </c>
      <c r="BJ46" s="463">
        <v>0</v>
      </c>
      <c r="BK46" s="352">
        <f t="shared" si="59"/>
        <v>0</v>
      </c>
      <c r="BL46" s="353">
        <f t="shared" si="60"/>
        <v>0.85</v>
      </c>
      <c r="BM46" s="431">
        <v>0</v>
      </c>
      <c r="BN46" s="431" t="s">
        <v>89</v>
      </c>
      <c r="BO46" s="351">
        <f t="shared" si="61"/>
        <v>0</v>
      </c>
      <c r="BP46" s="348">
        <f t="shared" si="62"/>
        <v>0</v>
      </c>
      <c r="BQ46" s="353">
        <f t="shared" si="63"/>
        <v>0.17</v>
      </c>
      <c r="BR46" s="458">
        <v>0</v>
      </c>
      <c r="BS46" s="348">
        <f t="shared" si="64"/>
        <v>0</v>
      </c>
      <c r="BT46" s="447">
        <v>0</v>
      </c>
      <c r="BU46" s="351">
        <f t="shared" si="65"/>
        <v>0</v>
      </c>
      <c r="BV46" s="353">
        <f t="shared" si="66"/>
        <v>0.17</v>
      </c>
      <c r="BW46" s="451">
        <v>0</v>
      </c>
      <c r="BX46" s="473"/>
      <c r="BY46" s="475"/>
      <c r="BZ46" s="663" t="s">
        <v>821</v>
      </c>
      <c r="CA46" s="666">
        <v>0</v>
      </c>
      <c r="CB46" s="354" t="str">
        <f t="shared" si="67"/>
        <v>To be realised</v>
      </c>
      <c r="CC46" s="431">
        <v>0</v>
      </c>
      <c r="CD46" s="431">
        <v>0</v>
      </c>
      <c r="CE46" s="355">
        <f t="shared" si="68"/>
        <v>11</v>
      </c>
      <c r="CF46" s="356">
        <f t="shared" si="69"/>
        <v>0</v>
      </c>
      <c r="CG46" s="348">
        <f t="shared" si="70"/>
        <v>0</v>
      </c>
      <c r="CH46" s="370" t="str">
        <f t="shared" si="71"/>
        <v>Column BN to be completed</v>
      </c>
      <c r="CI46" s="441"/>
      <c r="CJ46" s="453">
        <v>0</v>
      </c>
      <c r="CK46" s="372">
        <f t="shared" si="72"/>
        <v>0</v>
      </c>
      <c r="CL46" s="441">
        <v>0</v>
      </c>
      <c r="CM46" s="357" t="str">
        <f t="shared" si="73"/>
        <v>No coverage</v>
      </c>
      <c r="CN46" s="447">
        <v>0</v>
      </c>
      <c r="CO46" s="753" t="s">
        <v>292</v>
      </c>
      <c r="CP46" s="482"/>
    </row>
    <row r="47" spans="2:94" s="36" customFormat="1" ht="30.75" customHeight="1" x14ac:dyDescent="0.2">
      <c r="B47" s="438" t="s">
        <v>200</v>
      </c>
      <c r="C47" s="430" t="s">
        <v>533</v>
      </c>
      <c r="D47" s="430" t="s">
        <v>267</v>
      </c>
      <c r="E47" s="430" t="s">
        <v>201</v>
      </c>
      <c r="F47" s="430">
        <v>97.848529999999997</v>
      </c>
      <c r="G47" s="430">
        <v>23.4008</v>
      </c>
      <c r="H47" s="430" t="s">
        <v>442</v>
      </c>
      <c r="I47" s="430" t="s">
        <v>213</v>
      </c>
      <c r="J47" s="430" t="s">
        <v>814</v>
      </c>
      <c r="K47" s="430" t="s">
        <v>804</v>
      </c>
      <c r="L47" s="721">
        <v>86</v>
      </c>
      <c r="M47" s="721">
        <v>488</v>
      </c>
      <c r="N47" s="431">
        <v>467</v>
      </c>
      <c r="O47" s="660">
        <v>467</v>
      </c>
      <c r="P47" s="796" t="str">
        <f t="shared" si="37"/>
        <v>2. Medium</v>
      </c>
      <c r="Q47" s="797" t="s">
        <v>924</v>
      </c>
      <c r="R47" s="432" t="s">
        <v>234</v>
      </c>
      <c r="S47" s="793" t="s">
        <v>232</v>
      </c>
      <c r="T47" s="365" t="str">
        <f t="shared" si="38"/>
        <v>Covered</v>
      </c>
      <c r="U47" s="437">
        <v>42460</v>
      </c>
      <c r="V47" s="784" t="s">
        <v>252</v>
      </c>
      <c r="W47" s="363" t="str">
        <f t="shared" si="39"/>
        <v>Documented</v>
      </c>
      <c r="X47" s="441">
        <v>0</v>
      </c>
      <c r="Y47" s="431">
        <v>0</v>
      </c>
      <c r="Z47" s="660" t="s">
        <v>19</v>
      </c>
      <c r="AA47" s="442" t="s">
        <v>19</v>
      </c>
      <c r="AB47" s="441">
        <v>0</v>
      </c>
      <c r="AC47" s="447">
        <v>0</v>
      </c>
      <c r="AD47" s="831">
        <v>86400</v>
      </c>
      <c r="AE47" s="454">
        <v>1</v>
      </c>
      <c r="AF47" s="463">
        <v>0</v>
      </c>
      <c r="AG47" s="455"/>
      <c r="AH47" s="368">
        <f t="shared" si="40"/>
        <v>1</v>
      </c>
      <c r="AI47" s="346">
        <f t="shared" si="41"/>
        <v>467</v>
      </c>
      <c r="AJ47" s="347">
        <f t="shared" si="42"/>
        <v>1</v>
      </c>
      <c r="AK47" s="348">
        <f t="shared" si="43"/>
        <v>467</v>
      </c>
      <c r="AL47" s="345">
        <f t="shared" si="44"/>
        <v>1</v>
      </c>
      <c r="AM47" s="348">
        <f t="shared" si="45"/>
        <v>467</v>
      </c>
      <c r="AN47" s="349" t="str">
        <f t="shared" si="46"/>
        <v>80-100%</v>
      </c>
      <c r="AO47" s="345">
        <f t="shared" si="47"/>
        <v>0</v>
      </c>
      <c r="AP47" s="350">
        <f t="shared" si="48"/>
        <v>0</v>
      </c>
      <c r="AQ47" s="348">
        <f t="shared" si="49"/>
        <v>1.1675</v>
      </c>
      <c r="AR47" s="348">
        <f t="shared" si="50"/>
        <v>0</v>
      </c>
      <c r="AS47" s="348">
        <f t="shared" si="51"/>
        <v>467</v>
      </c>
      <c r="AT47" s="458">
        <v>1</v>
      </c>
      <c r="AU47" s="459">
        <f t="shared" si="52"/>
        <v>467</v>
      </c>
      <c r="AV47" s="448" t="s">
        <v>770</v>
      </c>
      <c r="AW47" s="813">
        <v>0</v>
      </c>
      <c r="AX47" s="449">
        <v>86</v>
      </c>
      <c r="AY47" s="431">
        <v>86</v>
      </c>
      <c r="AZ47" s="431">
        <v>0</v>
      </c>
      <c r="BA47" s="431"/>
      <c r="BB47" s="442" t="s">
        <v>289</v>
      </c>
      <c r="BC47" s="810">
        <f t="shared" si="53"/>
        <v>1</v>
      </c>
      <c r="BD47" s="348">
        <f t="shared" si="54"/>
        <v>467</v>
      </c>
      <c r="BE47" s="351">
        <f t="shared" si="55"/>
        <v>1</v>
      </c>
      <c r="BF47" s="348">
        <f t="shared" si="56"/>
        <v>467</v>
      </c>
      <c r="BG47" s="351">
        <f t="shared" si="57"/>
        <v>0</v>
      </c>
      <c r="BH47" s="348">
        <f t="shared" si="58"/>
        <v>0</v>
      </c>
      <c r="BI47" s="447">
        <v>2</v>
      </c>
      <c r="BJ47" s="463">
        <v>1</v>
      </c>
      <c r="BK47" s="352">
        <f t="shared" si="59"/>
        <v>467</v>
      </c>
      <c r="BL47" s="353">
        <f t="shared" si="60"/>
        <v>25.35</v>
      </c>
      <c r="BM47" s="431">
        <v>1</v>
      </c>
      <c r="BN47" s="431" t="s">
        <v>89</v>
      </c>
      <c r="BO47" s="351">
        <f t="shared" si="61"/>
        <v>0.21413276231263384</v>
      </c>
      <c r="BP47" s="348">
        <f t="shared" si="62"/>
        <v>100</v>
      </c>
      <c r="BQ47" s="353">
        <f t="shared" si="63"/>
        <v>3.88</v>
      </c>
      <c r="BR47" s="463">
        <v>0.31</v>
      </c>
      <c r="BS47" s="348">
        <f t="shared" si="64"/>
        <v>144.77000000000001</v>
      </c>
      <c r="BT47" s="431">
        <v>0</v>
      </c>
      <c r="BU47" s="351">
        <f t="shared" si="65"/>
        <v>0</v>
      </c>
      <c r="BV47" s="353">
        <f t="shared" si="66"/>
        <v>4.88</v>
      </c>
      <c r="BW47" s="455">
        <v>0</v>
      </c>
      <c r="BX47" s="473" t="s">
        <v>787</v>
      </c>
      <c r="BY47" s="475">
        <v>42125</v>
      </c>
      <c r="BZ47" s="663" t="s">
        <v>821</v>
      </c>
      <c r="CA47" s="666"/>
      <c r="CB47" s="354">
        <f t="shared" si="67"/>
        <v>42490</v>
      </c>
      <c r="CC47" s="431">
        <v>82</v>
      </c>
      <c r="CD47" s="431">
        <v>8</v>
      </c>
      <c r="CE47" s="355">
        <f t="shared" si="68"/>
        <v>4</v>
      </c>
      <c r="CF47" s="356">
        <f t="shared" si="69"/>
        <v>0.95348837209302328</v>
      </c>
      <c r="CG47" s="348">
        <f t="shared" si="70"/>
        <v>445.27906976744185</v>
      </c>
      <c r="CH47" s="370">
        <f t="shared" si="71"/>
        <v>1</v>
      </c>
      <c r="CI47" s="449"/>
      <c r="CJ47" s="455">
        <v>0</v>
      </c>
      <c r="CK47" s="372">
        <f t="shared" si="72"/>
        <v>0</v>
      </c>
      <c r="CL47" s="449">
        <v>3</v>
      </c>
      <c r="CM47" s="357" t="str">
        <f t="shared" si="73"/>
        <v>Excellent coverage</v>
      </c>
      <c r="CN47" s="431">
        <v>0</v>
      </c>
      <c r="CO47" s="753" t="s">
        <v>292</v>
      </c>
      <c r="CP47" s="482"/>
    </row>
    <row r="48" spans="2:94" s="36" customFormat="1" ht="30.75" customHeight="1" x14ac:dyDescent="0.25">
      <c r="B48" s="438" t="s">
        <v>200</v>
      </c>
      <c r="C48" s="430"/>
      <c r="D48" s="430" t="s">
        <v>267</v>
      </c>
      <c r="E48" s="430" t="s">
        <v>917</v>
      </c>
      <c r="F48" s="430"/>
      <c r="G48" s="430"/>
      <c r="H48" s="430" t="s">
        <v>443</v>
      </c>
      <c r="I48" s="430" t="s">
        <v>213</v>
      </c>
      <c r="J48" s="430" t="s">
        <v>812</v>
      </c>
      <c r="K48" s="430" t="s">
        <v>805</v>
      </c>
      <c r="L48" s="722"/>
      <c r="M48" s="722"/>
      <c r="N48" s="639">
        <v>1191</v>
      </c>
      <c r="O48" s="789">
        <v>1191</v>
      </c>
      <c r="P48" s="796" t="str">
        <f t="shared" si="37"/>
        <v>1. Small</v>
      </c>
      <c r="Q48" s="797" t="s">
        <v>253</v>
      </c>
      <c r="R48" s="434"/>
      <c r="S48" s="792" t="s">
        <v>232</v>
      </c>
      <c r="T48" s="365" t="str">
        <f t="shared" si="38"/>
        <v>Covered</v>
      </c>
      <c r="U48" s="437">
        <v>42521</v>
      </c>
      <c r="V48" s="783" t="s">
        <v>252</v>
      </c>
      <c r="W48" s="363" t="str">
        <f t="shared" si="39"/>
        <v>Documented</v>
      </c>
      <c r="X48" s="443">
        <v>0</v>
      </c>
      <c r="Y48" s="433">
        <v>0</v>
      </c>
      <c r="Z48" s="659" t="s">
        <v>19</v>
      </c>
      <c r="AA48" s="444" t="s">
        <v>19</v>
      </c>
      <c r="AB48" s="443">
        <v>0</v>
      </c>
      <c r="AC48" s="433">
        <v>0</v>
      </c>
      <c r="AD48" s="832">
        <v>0</v>
      </c>
      <c r="AE48" s="452">
        <v>0</v>
      </c>
      <c r="AF48" s="461">
        <v>0</v>
      </c>
      <c r="AG48" s="453"/>
      <c r="AH48" s="368">
        <f t="shared" si="40"/>
        <v>0</v>
      </c>
      <c r="AI48" s="346">
        <f t="shared" si="41"/>
        <v>0</v>
      </c>
      <c r="AJ48" s="347">
        <f t="shared" si="42"/>
        <v>0</v>
      </c>
      <c r="AK48" s="348">
        <f t="shared" si="43"/>
        <v>0</v>
      </c>
      <c r="AL48" s="345">
        <f t="shared" si="44"/>
        <v>0</v>
      </c>
      <c r="AM48" s="348">
        <f t="shared" si="45"/>
        <v>0</v>
      </c>
      <c r="AN48" s="349" t="str">
        <f t="shared" si="46"/>
        <v>0-10%</v>
      </c>
      <c r="AO48" s="345">
        <f t="shared" si="47"/>
        <v>0</v>
      </c>
      <c r="AP48" s="350">
        <f t="shared" si="48"/>
        <v>0</v>
      </c>
      <c r="AQ48" s="348">
        <f t="shared" si="49"/>
        <v>2.9775</v>
      </c>
      <c r="AR48" s="348">
        <f t="shared" si="50"/>
        <v>0</v>
      </c>
      <c r="AS48" s="348">
        <f t="shared" si="51"/>
        <v>0</v>
      </c>
      <c r="AT48" s="461">
        <v>1</v>
      </c>
      <c r="AU48" s="459">
        <f t="shared" si="52"/>
        <v>1191</v>
      </c>
      <c r="AV48" s="453"/>
      <c r="AW48" s="812">
        <v>0</v>
      </c>
      <c r="AX48" s="443">
        <v>0</v>
      </c>
      <c r="AY48" s="433"/>
      <c r="AZ48" s="433">
        <v>0</v>
      </c>
      <c r="BA48" s="433" t="s">
        <v>888</v>
      </c>
      <c r="BB48" s="444"/>
      <c r="BC48" s="810">
        <f t="shared" si="53"/>
        <v>0</v>
      </c>
      <c r="BD48" s="348">
        <f t="shared" si="54"/>
        <v>0</v>
      </c>
      <c r="BE48" s="351">
        <f t="shared" si="55"/>
        <v>0</v>
      </c>
      <c r="BF48" s="348">
        <f t="shared" si="56"/>
        <v>0</v>
      </c>
      <c r="BG48" s="351">
        <f t="shared" si="57"/>
        <v>0</v>
      </c>
      <c r="BH48" s="348">
        <f t="shared" si="58"/>
        <v>0</v>
      </c>
      <c r="BI48" s="466">
        <v>3</v>
      </c>
      <c r="BJ48" s="461">
        <v>1</v>
      </c>
      <c r="BK48" s="352">
        <f t="shared" si="59"/>
        <v>1191</v>
      </c>
      <c r="BL48" s="353">
        <f t="shared" si="60"/>
        <v>62.55</v>
      </c>
      <c r="BM48" s="433">
        <v>0</v>
      </c>
      <c r="BN48" s="433"/>
      <c r="BO48" s="351">
        <f t="shared" si="61"/>
        <v>0</v>
      </c>
      <c r="BP48" s="348">
        <f t="shared" si="62"/>
        <v>0</v>
      </c>
      <c r="BQ48" s="353">
        <f t="shared" si="63"/>
        <v>0</v>
      </c>
      <c r="BR48" s="467">
        <v>0</v>
      </c>
      <c r="BS48" s="348">
        <f t="shared" si="64"/>
        <v>0</v>
      </c>
      <c r="BT48" s="433">
        <v>0</v>
      </c>
      <c r="BU48" s="351">
        <f t="shared" si="65"/>
        <v>0</v>
      </c>
      <c r="BV48" s="353">
        <f t="shared" si="66"/>
        <v>0</v>
      </c>
      <c r="BW48" s="453">
        <v>1</v>
      </c>
      <c r="BX48" s="474"/>
      <c r="BY48" s="476"/>
      <c r="BZ48" s="662"/>
      <c r="CA48" s="665"/>
      <c r="CB48" s="354" t="str">
        <f t="shared" si="67"/>
        <v>To be realised</v>
      </c>
      <c r="CC48" s="466"/>
      <c r="CD48" s="466"/>
      <c r="CE48" s="355">
        <f t="shared" si="68"/>
        <v>0</v>
      </c>
      <c r="CF48" s="356">
        <f t="shared" si="69"/>
        <v>1</v>
      </c>
      <c r="CG48" s="348">
        <f t="shared" si="70"/>
        <v>1191</v>
      </c>
      <c r="CH48" s="370" t="str">
        <f t="shared" si="71"/>
        <v>Column BN to be completed</v>
      </c>
      <c r="CI48" s="478"/>
      <c r="CJ48" s="453">
        <v>0</v>
      </c>
      <c r="CK48" s="372">
        <f t="shared" si="72"/>
        <v>0</v>
      </c>
      <c r="CL48" s="478"/>
      <c r="CM48" s="357" t="str">
        <f t="shared" si="73"/>
        <v>No coverage</v>
      </c>
      <c r="CN48" s="447"/>
      <c r="CO48" s="752"/>
      <c r="CP48" s="485"/>
    </row>
    <row r="49" spans="2:94" s="36" customFormat="1" ht="30.75" customHeight="1" x14ac:dyDescent="0.2">
      <c r="B49" s="438" t="s">
        <v>200</v>
      </c>
      <c r="C49" s="430" t="s">
        <v>534</v>
      </c>
      <c r="D49" s="430" t="s">
        <v>267</v>
      </c>
      <c r="E49" s="430" t="s">
        <v>202</v>
      </c>
      <c r="F49" s="430">
        <v>97.926813999999993</v>
      </c>
      <c r="G49" s="430">
        <v>23.450914000000001</v>
      </c>
      <c r="H49" s="430" t="s">
        <v>442</v>
      </c>
      <c r="I49" s="430" t="s">
        <v>213</v>
      </c>
      <c r="J49" s="430" t="s">
        <v>812</v>
      </c>
      <c r="K49" s="430" t="s">
        <v>800</v>
      </c>
      <c r="L49" s="721">
        <v>65</v>
      </c>
      <c r="M49" s="721">
        <v>310</v>
      </c>
      <c r="N49" s="431">
        <v>310</v>
      </c>
      <c r="O49" s="660">
        <v>305</v>
      </c>
      <c r="P49" s="796" t="str">
        <f t="shared" si="37"/>
        <v>2. Medium</v>
      </c>
      <c r="Q49" s="797" t="s">
        <v>923</v>
      </c>
      <c r="R49" s="432" t="s">
        <v>234</v>
      </c>
      <c r="S49" s="793" t="s">
        <v>232</v>
      </c>
      <c r="T49" s="365" t="str">
        <f t="shared" si="38"/>
        <v>Covered</v>
      </c>
      <c r="U49" s="437">
        <v>42521</v>
      </c>
      <c r="V49" s="784" t="s">
        <v>252</v>
      </c>
      <c r="W49" s="363" t="str">
        <f t="shared" si="39"/>
        <v>Documented</v>
      </c>
      <c r="X49" s="441">
        <v>0</v>
      </c>
      <c r="Y49" s="431">
        <v>0</v>
      </c>
      <c r="Z49" s="660" t="s">
        <v>19</v>
      </c>
      <c r="AA49" s="442" t="s">
        <v>19</v>
      </c>
      <c r="AB49" s="441">
        <v>0</v>
      </c>
      <c r="AC49" s="447">
        <v>0</v>
      </c>
      <c r="AD49" s="831">
        <v>2000</v>
      </c>
      <c r="AE49" s="454">
        <v>1</v>
      </c>
      <c r="AF49" s="463">
        <v>0</v>
      </c>
      <c r="AG49" s="455"/>
      <c r="AH49" s="368">
        <f t="shared" si="40"/>
        <v>0.43715846994535523</v>
      </c>
      <c r="AI49" s="346">
        <f t="shared" si="41"/>
        <v>133.33333333333334</v>
      </c>
      <c r="AJ49" s="347">
        <f t="shared" si="42"/>
        <v>0.43715846994535523</v>
      </c>
      <c r="AK49" s="348">
        <f t="shared" si="43"/>
        <v>133.33333333333334</v>
      </c>
      <c r="AL49" s="345">
        <f t="shared" si="44"/>
        <v>0.43715846994535523</v>
      </c>
      <c r="AM49" s="348">
        <f t="shared" si="45"/>
        <v>133.33333333333334</v>
      </c>
      <c r="AN49" s="349" t="str">
        <f t="shared" si="46"/>
        <v>30-45%</v>
      </c>
      <c r="AO49" s="345">
        <f t="shared" si="47"/>
        <v>0</v>
      </c>
      <c r="AP49" s="350">
        <f t="shared" si="48"/>
        <v>0</v>
      </c>
      <c r="AQ49" s="348">
        <f t="shared" si="49"/>
        <v>0.76249999999999996</v>
      </c>
      <c r="AR49" s="348">
        <f t="shared" si="50"/>
        <v>0</v>
      </c>
      <c r="AS49" s="348">
        <f t="shared" si="51"/>
        <v>305</v>
      </c>
      <c r="AT49" s="458">
        <v>1</v>
      </c>
      <c r="AU49" s="459">
        <f t="shared" si="52"/>
        <v>305</v>
      </c>
      <c r="AV49" s="448" t="s">
        <v>771</v>
      </c>
      <c r="AW49" s="813">
        <v>65</v>
      </c>
      <c r="AX49" s="449">
        <v>0</v>
      </c>
      <c r="AY49" s="431"/>
      <c r="AZ49" s="431">
        <v>10</v>
      </c>
      <c r="BA49" s="431" t="s">
        <v>889</v>
      </c>
      <c r="BB49" s="442" t="s">
        <v>289</v>
      </c>
      <c r="BC49" s="810">
        <f t="shared" si="53"/>
        <v>0.65573770491803274</v>
      </c>
      <c r="BD49" s="348">
        <f t="shared" si="54"/>
        <v>199.99999999999997</v>
      </c>
      <c r="BE49" s="351">
        <f t="shared" si="55"/>
        <v>0</v>
      </c>
      <c r="BF49" s="348">
        <f t="shared" si="56"/>
        <v>0</v>
      </c>
      <c r="BG49" s="351">
        <f t="shared" si="57"/>
        <v>0.65573770491803274</v>
      </c>
      <c r="BH49" s="348">
        <f t="shared" si="58"/>
        <v>199.99999999999997</v>
      </c>
      <c r="BI49" s="447">
        <v>2</v>
      </c>
      <c r="BJ49" s="463">
        <v>0.66</v>
      </c>
      <c r="BK49" s="352">
        <f t="shared" si="59"/>
        <v>201.3</v>
      </c>
      <c r="BL49" s="353">
        <f t="shared" si="60"/>
        <v>7.25</v>
      </c>
      <c r="BM49" s="431">
        <v>2</v>
      </c>
      <c r="BN49" s="431" t="s">
        <v>89</v>
      </c>
      <c r="BO49" s="351">
        <f t="shared" si="61"/>
        <v>0.65573770491803274</v>
      </c>
      <c r="BP49" s="348">
        <f t="shared" si="62"/>
        <v>199.99999999999997</v>
      </c>
      <c r="BQ49" s="353">
        <f t="shared" si="63"/>
        <v>1.1000000000000001</v>
      </c>
      <c r="BR49" s="463">
        <v>0.68</v>
      </c>
      <c r="BS49" s="348">
        <f t="shared" si="64"/>
        <v>207.4</v>
      </c>
      <c r="BT49" s="431">
        <v>3</v>
      </c>
      <c r="BU49" s="351">
        <f t="shared" si="65"/>
        <v>0.98360655737704916</v>
      </c>
      <c r="BV49" s="353">
        <f t="shared" si="66"/>
        <v>0.10000000000000009</v>
      </c>
      <c r="BW49" s="455">
        <v>0.98</v>
      </c>
      <c r="BX49" s="473"/>
      <c r="BY49" s="475">
        <v>41183</v>
      </c>
      <c r="BZ49" s="663" t="s">
        <v>821</v>
      </c>
      <c r="CA49" s="666"/>
      <c r="CB49" s="354" t="str">
        <f t="shared" si="67"/>
        <v>To be realised</v>
      </c>
      <c r="CC49" s="431">
        <v>84</v>
      </c>
      <c r="CD49" s="431">
        <v>8</v>
      </c>
      <c r="CE49" s="355">
        <f t="shared" si="68"/>
        <v>65</v>
      </c>
      <c r="CF49" s="356">
        <f t="shared" si="69"/>
        <v>0</v>
      </c>
      <c r="CG49" s="348">
        <f t="shared" si="70"/>
        <v>0</v>
      </c>
      <c r="CH49" s="370">
        <f t="shared" si="71"/>
        <v>33</v>
      </c>
      <c r="CI49" s="479" t="s">
        <v>794</v>
      </c>
      <c r="CJ49" s="455">
        <v>0.3</v>
      </c>
      <c r="CK49" s="372">
        <f t="shared" si="72"/>
        <v>91.5</v>
      </c>
      <c r="CL49" s="449">
        <v>1</v>
      </c>
      <c r="CM49" s="357" t="str">
        <f t="shared" si="73"/>
        <v>Excellent coverage</v>
      </c>
      <c r="CN49" s="431">
        <v>0</v>
      </c>
      <c r="CO49" s="753" t="s">
        <v>65</v>
      </c>
      <c r="CP49" s="482"/>
    </row>
    <row r="50" spans="2:94" s="36" customFormat="1" ht="30.75" customHeight="1" x14ac:dyDescent="0.2">
      <c r="B50" s="438" t="s">
        <v>200</v>
      </c>
      <c r="C50" s="430" t="s">
        <v>535</v>
      </c>
      <c r="D50" s="430" t="s">
        <v>267</v>
      </c>
      <c r="E50" s="430" t="s">
        <v>203</v>
      </c>
      <c r="F50" s="430">
        <v>97.947360000000003</v>
      </c>
      <c r="G50" s="430">
        <v>23.460349999999998</v>
      </c>
      <c r="H50" s="430" t="s">
        <v>442</v>
      </c>
      <c r="I50" s="430" t="s">
        <v>213</v>
      </c>
      <c r="J50" s="430" t="s">
        <v>812</v>
      </c>
      <c r="K50" s="430" t="s">
        <v>800</v>
      </c>
      <c r="L50" s="721">
        <v>30</v>
      </c>
      <c r="M50" s="721">
        <v>139</v>
      </c>
      <c r="N50" s="431">
        <v>141</v>
      </c>
      <c r="O50" s="660">
        <v>141</v>
      </c>
      <c r="P50" s="796" t="str">
        <f t="shared" si="37"/>
        <v>1. Small</v>
      </c>
      <c r="Q50" s="797" t="s">
        <v>828</v>
      </c>
      <c r="R50" s="432" t="s">
        <v>230</v>
      </c>
      <c r="S50" s="793" t="s">
        <v>230</v>
      </c>
      <c r="T50" s="365" t="str">
        <f t="shared" si="38"/>
        <v>Covered</v>
      </c>
      <c r="U50" s="437">
        <v>42735</v>
      </c>
      <c r="V50" s="784" t="s">
        <v>252</v>
      </c>
      <c r="W50" s="363" t="str">
        <f t="shared" si="39"/>
        <v>Documented</v>
      </c>
      <c r="X50" s="441">
        <v>0</v>
      </c>
      <c r="Y50" s="431">
        <v>0</v>
      </c>
      <c r="Z50" s="660" t="s">
        <v>19</v>
      </c>
      <c r="AA50" s="442" t="s">
        <v>19</v>
      </c>
      <c r="AB50" s="441">
        <v>1</v>
      </c>
      <c r="AC50" s="447">
        <v>0</v>
      </c>
      <c r="AD50" s="831">
        <v>0</v>
      </c>
      <c r="AE50" s="454">
        <v>1</v>
      </c>
      <c r="AF50" s="463">
        <v>1</v>
      </c>
      <c r="AG50" s="455"/>
      <c r="AH50" s="368">
        <f t="shared" si="40"/>
        <v>1</v>
      </c>
      <c r="AI50" s="346">
        <f t="shared" si="41"/>
        <v>141</v>
      </c>
      <c r="AJ50" s="347">
        <f t="shared" si="42"/>
        <v>1</v>
      </c>
      <c r="AK50" s="348">
        <f t="shared" si="43"/>
        <v>141</v>
      </c>
      <c r="AL50" s="345">
        <f t="shared" si="44"/>
        <v>1</v>
      </c>
      <c r="AM50" s="348">
        <f t="shared" si="45"/>
        <v>141</v>
      </c>
      <c r="AN50" s="349" t="str">
        <f t="shared" si="46"/>
        <v>80-100%</v>
      </c>
      <c r="AO50" s="345">
        <f t="shared" si="47"/>
        <v>0</v>
      </c>
      <c r="AP50" s="350">
        <f t="shared" si="48"/>
        <v>0</v>
      </c>
      <c r="AQ50" s="348">
        <f t="shared" si="49"/>
        <v>0</v>
      </c>
      <c r="AR50" s="348">
        <f t="shared" si="50"/>
        <v>30</v>
      </c>
      <c r="AS50" s="348">
        <f t="shared" si="51"/>
        <v>141</v>
      </c>
      <c r="AT50" s="458">
        <v>1</v>
      </c>
      <c r="AU50" s="459">
        <f t="shared" si="52"/>
        <v>141</v>
      </c>
      <c r="AV50" s="448" t="s">
        <v>832</v>
      </c>
      <c r="AW50" s="813">
        <v>17</v>
      </c>
      <c r="AX50" s="449">
        <v>0</v>
      </c>
      <c r="AY50" s="431"/>
      <c r="AZ50" s="431">
        <v>8</v>
      </c>
      <c r="BA50" s="431"/>
      <c r="BB50" s="442" t="s">
        <v>290</v>
      </c>
      <c r="BC50" s="810">
        <f t="shared" si="53"/>
        <v>1</v>
      </c>
      <c r="BD50" s="348">
        <f t="shared" si="54"/>
        <v>141</v>
      </c>
      <c r="BE50" s="351">
        <f t="shared" si="55"/>
        <v>0</v>
      </c>
      <c r="BF50" s="348">
        <f t="shared" si="56"/>
        <v>0</v>
      </c>
      <c r="BG50" s="351">
        <f t="shared" si="57"/>
        <v>1</v>
      </c>
      <c r="BH50" s="348">
        <f t="shared" si="58"/>
        <v>141</v>
      </c>
      <c r="BI50" s="447">
        <v>2</v>
      </c>
      <c r="BJ50" s="463">
        <v>1</v>
      </c>
      <c r="BK50" s="352">
        <f t="shared" si="59"/>
        <v>141</v>
      </c>
      <c r="BL50" s="353">
        <f t="shared" si="60"/>
        <v>1.0499999999999998</v>
      </c>
      <c r="BM50" s="431">
        <v>2</v>
      </c>
      <c r="BN50" s="431" t="s">
        <v>290</v>
      </c>
      <c r="BO50" s="351">
        <f t="shared" si="61"/>
        <v>1</v>
      </c>
      <c r="BP50" s="348">
        <f t="shared" si="62"/>
        <v>141</v>
      </c>
      <c r="BQ50" s="353">
        <f t="shared" si="63"/>
        <v>0</v>
      </c>
      <c r="BR50" s="463">
        <v>1</v>
      </c>
      <c r="BS50" s="348">
        <f t="shared" si="64"/>
        <v>141</v>
      </c>
      <c r="BT50" s="431">
        <v>0</v>
      </c>
      <c r="BU50" s="351">
        <f t="shared" si="65"/>
        <v>0</v>
      </c>
      <c r="BV50" s="353">
        <f t="shared" si="66"/>
        <v>1.39</v>
      </c>
      <c r="BW50" s="455">
        <v>0</v>
      </c>
      <c r="BX50" s="473" t="s">
        <v>788</v>
      </c>
      <c r="BY50" s="475"/>
      <c r="BZ50" s="663" t="s">
        <v>821</v>
      </c>
      <c r="CA50" s="666">
        <v>0</v>
      </c>
      <c r="CB50" s="354" t="str">
        <f t="shared" si="67"/>
        <v>To be realised</v>
      </c>
      <c r="CC50" s="431">
        <v>0</v>
      </c>
      <c r="CD50" s="431">
        <v>3</v>
      </c>
      <c r="CE50" s="355">
        <f t="shared" si="68"/>
        <v>30</v>
      </c>
      <c r="CF50" s="356">
        <f t="shared" si="69"/>
        <v>0</v>
      </c>
      <c r="CG50" s="348">
        <f t="shared" si="70"/>
        <v>0</v>
      </c>
      <c r="CH50" s="370" t="str">
        <f t="shared" si="71"/>
        <v>Column BN to be completed</v>
      </c>
      <c r="CI50" s="449"/>
      <c r="CJ50" s="455">
        <v>0</v>
      </c>
      <c r="CK50" s="372">
        <f t="shared" si="72"/>
        <v>0</v>
      </c>
      <c r="CL50" s="449">
        <v>2</v>
      </c>
      <c r="CM50" s="357" t="str">
        <f t="shared" si="73"/>
        <v>Excellent coverage</v>
      </c>
      <c r="CN50" s="431">
        <v>0</v>
      </c>
      <c r="CO50" s="753" t="s">
        <v>65</v>
      </c>
      <c r="CP50" s="482"/>
    </row>
    <row r="51" spans="2:94" s="36" customFormat="1" ht="30.75" customHeight="1" x14ac:dyDescent="0.2">
      <c r="B51" s="438" t="s">
        <v>200</v>
      </c>
      <c r="C51" s="430" t="s">
        <v>536</v>
      </c>
      <c r="D51" s="430" t="s">
        <v>267</v>
      </c>
      <c r="E51" s="430" t="s">
        <v>204</v>
      </c>
      <c r="F51" s="430">
        <v>97.793306999999999</v>
      </c>
      <c r="G51" s="430">
        <v>23.589089000000001</v>
      </c>
      <c r="H51" s="430" t="s">
        <v>442</v>
      </c>
      <c r="I51" s="430" t="s">
        <v>213</v>
      </c>
      <c r="J51" s="430" t="s">
        <v>814</v>
      </c>
      <c r="K51" s="430" t="s">
        <v>804</v>
      </c>
      <c r="L51" s="721">
        <v>77</v>
      </c>
      <c r="M51" s="721">
        <v>10</v>
      </c>
      <c r="N51" s="431">
        <v>364</v>
      </c>
      <c r="O51" s="660">
        <v>364</v>
      </c>
      <c r="P51" s="796" t="str">
        <f t="shared" si="37"/>
        <v>2. Medium</v>
      </c>
      <c r="Q51" s="797" t="s">
        <v>924</v>
      </c>
      <c r="R51" s="432" t="s">
        <v>234</v>
      </c>
      <c r="S51" s="793" t="s">
        <v>232</v>
      </c>
      <c r="T51" s="365" t="str">
        <f t="shared" si="38"/>
        <v>Covered</v>
      </c>
      <c r="U51" s="437">
        <v>42460</v>
      </c>
      <c r="V51" s="784" t="s">
        <v>252</v>
      </c>
      <c r="W51" s="363" t="str">
        <f t="shared" si="39"/>
        <v>Documented</v>
      </c>
      <c r="X51" s="441">
        <v>0</v>
      </c>
      <c r="Y51" s="431">
        <v>0</v>
      </c>
      <c r="Z51" s="660" t="s">
        <v>19</v>
      </c>
      <c r="AA51" s="442" t="s">
        <v>19</v>
      </c>
      <c r="AB51" s="441">
        <v>0</v>
      </c>
      <c r="AC51" s="447">
        <v>0</v>
      </c>
      <c r="AD51" s="831">
        <v>100000</v>
      </c>
      <c r="AE51" s="454">
        <v>1</v>
      </c>
      <c r="AF51" s="463">
        <v>0</v>
      </c>
      <c r="AG51" s="455"/>
      <c r="AH51" s="368">
        <f t="shared" si="40"/>
        <v>1</v>
      </c>
      <c r="AI51" s="346">
        <f t="shared" si="41"/>
        <v>364</v>
      </c>
      <c r="AJ51" s="347">
        <f t="shared" si="42"/>
        <v>1</v>
      </c>
      <c r="AK51" s="348">
        <f t="shared" si="43"/>
        <v>364</v>
      </c>
      <c r="AL51" s="345">
        <f t="shared" si="44"/>
        <v>1</v>
      </c>
      <c r="AM51" s="348">
        <f t="shared" si="45"/>
        <v>364</v>
      </c>
      <c r="AN51" s="349" t="str">
        <f t="shared" si="46"/>
        <v>80-100%</v>
      </c>
      <c r="AO51" s="345">
        <f t="shared" si="47"/>
        <v>0</v>
      </c>
      <c r="AP51" s="350">
        <f t="shared" si="48"/>
        <v>0</v>
      </c>
      <c r="AQ51" s="348">
        <f t="shared" si="49"/>
        <v>0.91</v>
      </c>
      <c r="AR51" s="348">
        <f t="shared" si="50"/>
        <v>0</v>
      </c>
      <c r="AS51" s="348">
        <f t="shared" si="51"/>
        <v>364</v>
      </c>
      <c r="AT51" s="458">
        <v>1</v>
      </c>
      <c r="AU51" s="459">
        <f t="shared" si="52"/>
        <v>364</v>
      </c>
      <c r="AV51" s="448"/>
      <c r="AW51" s="813">
        <v>0</v>
      </c>
      <c r="AX51" s="449">
        <v>74</v>
      </c>
      <c r="AY51" s="431">
        <v>74</v>
      </c>
      <c r="AZ51" s="431">
        <v>0</v>
      </c>
      <c r="BA51" s="431"/>
      <c r="BB51" s="442" t="s">
        <v>289</v>
      </c>
      <c r="BC51" s="810">
        <f t="shared" si="53"/>
        <v>1</v>
      </c>
      <c r="BD51" s="348">
        <f t="shared" si="54"/>
        <v>364</v>
      </c>
      <c r="BE51" s="351">
        <f t="shared" si="55"/>
        <v>1</v>
      </c>
      <c r="BF51" s="348">
        <f t="shared" si="56"/>
        <v>364</v>
      </c>
      <c r="BG51" s="351">
        <f t="shared" si="57"/>
        <v>0</v>
      </c>
      <c r="BH51" s="348">
        <f t="shared" si="58"/>
        <v>0</v>
      </c>
      <c r="BI51" s="447">
        <v>2</v>
      </c>
      <c r="BJ51" s="463">
        <v>1</v>
      </c>
      <c r="BK51" s="352">
        <f t="shared" si="59"/>
        <v>364</v>
      </c>
      <c r="BL51" s="353">
        <f t="shared" si="60"/>
        <v>20.2</v>
      </c>
      <c r="BM51" s="431">
        <v>5</v>
      </c>
      <c r="BN51" s="431" t="s">
        <v>89</v>
      </c>
      <c r="BO51" s="351">
        <f t="shared" si="61"/>
        <v>1</v>
      </c>
      <c r="BP51" s="348">
        <f t="shared" si="62"/>
        <v>364</v>
      </c>
      <c r="BQ51" s="353">
        <f t="shared" si="63"/>
        <v>0</v>
      </c>
      <c r="BR51" s="463">
        <v>1</v>
      </c>
      <c r="BS51" s="348">
        <f t="shared" si="64"/>
        <v>364</v>
      </c>
      <c r="BT51" s="431">
        <v>4</v>
      </c>
      <c r="BU51" s="351">
        <f t="shared" si="65"/>
        <v>1</v>
      </c>
      <c r="BV51" s="353">
        <f t="shared" si="66"/>
        <v>0</v>
      </c>
      <c r="BW51" s="455">
        <v>1</v>
      </c>
      <c r="BX51" s="473" t="s">
        <v>789</v>
      </c>
      <c r="BY51" s="475">
        <v>42125</v>
      </c>
      <c r="BZ51" s="663" t="s">
        <v>821</v>
      </c>
      <c r="CA51" s="666"/>
      <c r="CB51" s="354">
        <f t="shared" si="67"/>
        <v>42490</v>
      </c>
      <c r="CC51" s="431">
        <v>77</v>
      </c>
      <c r="CD51" s="431">
        <v>8</v>
      </c>
      <c r="CE51" s="358">
        <f t="shared" si="68"/>
        <v>0</v>
      </c>
      <c r="CF51" s="359">
        <f t="shared" si="69"/>
        <v>1</v>
      </c>
      <c r="CG51" s="352">
        <f t="shared" si="70"/>
        <v>364</v>
      </c>
      <c r="CH51" s="654">
        <f t="shared" si="71"/>
        <v>1</v>
      </c>
      <c r="CI51" s="449"/>
      <c r="CJ51" s="455">
        <v>0</v>
      </c>
      <c r="CK51" s="372">
        <f t="shared" si="72"/>
        <v>0</v>
      </c>
      <c r="CL51" s="449">
        <v>2</v>
      </c>
      <c r="CM51" s="357" t="str">
        <f t="shared" si="73"/>
        <v>Excellent coverage</v>
      </c>
      <c r="CN51" s="431">
        <v>0</v>
      </c>
      <c r="CO51" s="753" t="s">
        <v>292</v>
      </c>
      <c r="CP51" s="482"/>
    </row>
    <row r="52" spans="2:94" s="36" customFormat="1" ht="30.75" customHeight="1" x14ac:dyDescent="0.2">
      <c r="B52" s="438" t="s">
        <v>200</v>
      </c>
      <c r="C52" s="430" t="s">
        <v>537</v>
      </c>
      <c r="D52" s="430" t="s">
        <v>267</v>
      </c>
      <c r="E52" s="430" t="s">
        <v>205</v>
      </c>
      <c r="F52" s="430">
        <v>98.220614999999995</v>
      </c>
      <c r="G52" s="430">
        <v>23.400155999999999</v>
      </c>
      <c r="H52" s="430" t="s">
        <v>442</v>
      </c>
      <c r="I52" s="430" t="s">
        <v>213</v>
      </c>
      <c r="J52" s="430" t="s">
        <v>814</v>
      </c>
      <c r="K52" s="430" t="s">
        <v>804</v>
      </c>
      <c r="L52" s="721">
        <v>51</v>
      </c>
      <c r="M52" s="721">
        <v>260</v>
      </c>
      <c r="N52" s="431">
        <v>251</v>
      </c>
      <c r="O52" s="660">
        <v>251</v>
      </c>
      <c r="P52" s="796" t="str">
        <f t="shared" si="37"/>
        <v>2. Medium</v>
      </c>
      <c r="Q52" s="797" t="s">
        <v>924</v>
      </c>
      <c r="R52" s="432" t="s">
        <v>234</v>
      </c>
      <c r="S52" s="793" t="s">
        <v>232</v>
      </c>
      <c r="T52" s="365" t="str">
        <f t="shared" si="38"/>
        <v>Covered</v>
      </c>
      <c r="U52" s="437">
        <v>42460</v>
      </c>
      <c r="V52" s="784" t="s">
        <v>252</v>
      </c>
      <c r="W52" s="363" t="str">
        <f t="shared" si="39"/>
        <v>Documented</v>
      </c>
      <c r="X52" s="441">
        <v>0</v>
      </c>
      <c r="Y52" s="431">
        <v>0</v>
      </c>
      <c r="Z52" s="660" t="s">
        <v>18</v>
      </c>
      <c r="AA52" s="442" t="s">
        <v>19</v>
      </c>
      <c r="AB52" s="449">
        <v>0</v>
      </c>
      <c r="AC52" s="431">
        <v>0</v>
      </c>
      <c r="AD52" s="831">
        <v>3500</v>
      </c>
      <c r="AE52" s="454">
        <v>1</v>
      </c>
      <c r="AF52" s="463">
        <v>0</v>
      </c>
      <c r="AG52" s="455"/>
      <c r="AH52" s="368">
        <f t="shared" si="40"/>
        <v>0.92961487383798147</v>
      </c>
      <c r="AI52" s="346">
        <f t="shared" si="41"/>
        <v>233.33333333333334</v>
      </c>
      <c r="AJ52" s="347">
        <f t="shared" si="42"/>
        <v>0.92961487383798147</v>
      </c>
      <c r="AK52" s="348">
        <f t="shared" si="43"/>
        <v>233.33333333333334</v>
      </c>
      <c r="AL52" s="345">
        <f t="shared" si="44"/>
        <v>0.92961487383798147</v>
      </c>
      <c r="AM52" s="348">
        <f t="shared" si="45"/>
        <v>233.33333333333334</v>
      </c>
      <c r="AN52" s="349" t="str">
        <f t="shared" si="46"/>
        <v>80-100%</v>
      </c>
      <c r="AO52" s="345">
        <f t="shared" si="47"/>
        <v>0</v>
      </c>
      <c r="AP52" s="350">
        <f t="shared" si="48"/>
        <v>0</v>
      </c>
      <c r="AQ52" s="348">
        <f t="shared" si="49"/>
        <v>0.62749999999999995</v>
      </c>
      <c r="AR52" s="348">
        <f t="shared" si="50"/>
        <v>0</v>
      </c>
      <c r="AS52" s="348">
        <f t="shared" si="51"/>
        <v>251</v>
      </c>
      <c r="AT52" s="463">
        <v>1</v>
      </c>
      <c r="AU52" s="459">
        <f t="shared" si="52"/>
        <v>251</v>
      </c>
      <c r="AV52" s="448"/>
      <c r="AW52" s="813">
        <v>0</v>
      </c>
      <c r="AX52" s="449">
        <v>41</v>
      </c>
      <c r="AY52" s="431">
        <v>41</v>
      </c>
      <c r="AZ52" s="431">
        <v>0</v>
      </c>
      <c r="BA52" s="431"/>
      <c r="BB52" s="442" t="s">
        <v>289</v>
      </c>
      <c r="BC52" s="810">
        <f t="shared" si="53"/>
        <v>1</v>
      </c>
      <c r="BD52" s="348">
        <f t="shared" si="54"/>
        <v>251</v>
      </c>
      <c r="BE52" s="351">
        <f t="shared" si="55"/>
        <v>1</v>
      </c>
      <c r="BF52" s="348">
        <f t="shared" si="56"/>
        <v>251</v>
      </c>
      <c r="BG52" s="351">
        <f t="shared" si="57"/>
        <v>0</v>
      </c>
      <c r="BH52" s="348">
        <f t="shared" si="58"/>
        <v>0</v>
      </c>
      <c r="BI52" s="447">
        <v>2</v>
      </c>
      <c r="BJ52" s="463">
        <v>1</v>
      </c>
      <c r="BK52" s="352">
        <f t="shared" si="59"/>
        <v>251</v>
      </c>
      <c r="BL52" s="353">
        <f t="shared" si="60"/>
        <v>14.55</v>
      </c>
      <c r="BM52" s="431">
        <v>3</v>
      </c>
      <c r="BN52" s="431" t="s">
        <v>89</v>
      </c>
      <c r="BO52" s="351">
        <f t="shared" si="61"/>
        <v>1</v>
      </c>
      <c r="BP52" s="348">
        <f t="shared" si="62"/>
        <v>251</v>
      </c>
      <c r="BQ52" s="353">
        <f t="shared" si="63"/>
        <v>0</v>
      </c>
      <c r="BR52" s="463">
        <v>1</v>
      </c>
      <c r="BS52" s="348">
        <f t="shared" si="64"/>
        <v>251</v>
      </c>
      <c r="BT52" s="431">
        <v>3</v>
      </c>
      <c r="BU52" s="351">
        <f t="shared" si="65"/>
        <v>1</v>
      </c>
      <c r="BV52" s="353">
        <f t="shared" si="66"/>
        <v>0</v>
      </c>
      <c r="BW52" s="455">
        <v>1</v>
      </c>
      <c r="BX52" s="473" t="s">
        <v>787</v>
      </c>
      <c r="BY52" s="475">
        <v>42125</v>
      </c>
      <c r="BZ52" s="663" t="s">
        <v>821</v>
      </c>
      <c r="CA52" s="666"/>
      <c r="CB52" s="354">
        <f t="shared" si="67"/>
        <v>42490</v>
      </c>
      <c r="CC52" s="431">
        <v>49</v>
      </c>
      <c r="CD52" s="431">
        <v>8</v>
      </c>
      <c r="CE52" s="358">
        <f t="shared" si="68"/>
        <v>2</v>
      </c>
      <c r="CF52" s="359">
        <f t="shared" si="69"/>
        <v>0.96078431372549022</v>
      </c>
      <c r="CG52" s="352">
        <f t="shared" si="70"/>
        <v>241.15686274509804</v>
      </c>
      <c r="CH52" s="654">
        <f t="shared" si="71"/>
        <v>1</v>
      </c>
      <c r="CI52" s="449" t="s">
        <v>864</v>
      </c>
      <c r="CJ52" s="455">
        <v>0</v>
      </c>
      <c r="CK52" s="372">
        <f t="shared" si="72"/>
        <v>0</v>
      </c>
      <c r="CL52" s="449">
        <v>1</v>
      </c>
      <c r="CM52" s="357" t="str">
        <f t="shared" si="73"/>
        <v>Excellent coverage</v>
      </c>
      <c r="CN52" s="431">
        <v>0</v>
      </c>
      <c r="CO52" s="753" t="s">
        <v>292</v>
      </c>
      <c r="CP52" s="482"/>
    </row>
    <row r="53" spans="2:94" s="36" customFormat="1" ht="30.75" customHeight="1" x14ac:dyDescent="0.2">
      <c r="B53" s="438" t="s">
        <v>200</v>
      </c>
      <c r="C53" s="430" t="s">
        <v>538</v>
      </c>
      <c r="D53" s="430" t="s">
        <v>267</v>
      </c>
      <c r="E53" s="430" t="s">
        <v>206</v>
      </c>
      <c r="F53" s="430">
        <v>98.213958000000005</v>
      </c>
      <c r="G53" s="430">
        <v>23.391741</v>
      </c>
      <c r="H53" s="430" t="s">
        <v>442</v>
      </c>
      <c r="I53" s="430" t="s">
        <v>213</v>
      </c>
      <c r="J53" s="430" t="s">
        <v>814</v>
      </c>
      <c r="K53" s="430" t="s">
        <v>804</v>
      </c>
      <c r="L53" s="721">
        <v>21</v>
      </c>
      <c r="M53" s="721">
        <v>107</v>
      </c>
      <c r="N53" s="431">
        <v>108</v>
      </c>
      <c r="O53" s="660">
        <v>108</v>
      </c>
      <c r="P53" s="796" t="str">
        <f t="shared" si="37"/>
        <v>1. Small</v>
      </c>
      <c r="Q53" s="797" t="s">
        <v>828</v>
      </c>
      <c r="R53" s="432" t="s">
        <v>230</v>
      </c>
      <c r="S53" s="793" t="s">
        <v>230</v>
      </c>
      <c r="T53" s="365" t="str">
        <f t="shared" si="38"/>
        <v>Covered</v>
      </c>
      <c r="U53" s="437">
        <v>42735</v>
      </c>
      <c r="V53" s="784" t="s">
        <v>252</v>
      </c>
      <c r="W53" s="363" t="str">
        <f t="shared" si="39"/>
        <v>Documented</v>
      </c>
      <c r="X53" s="441">
        <v>0</v>
      </c>
      <c r="Y53" s="431">
        <v>0</v>
      </c>
      <c r="Z53" s="660" t="s">
        <v>19</v>
      </c>
      <c r="AA53" s="442" t="s">
        <v>19</v>
      </c>
      <c r="AB53" s="449">
        <v>0</v>
      </c>
      <c r="AC53" s="431">
        <v>0</v>
      </c>
      <c r="AD53" s="831">
        <v>14400</v>
      </c>
      <c r="AE53" s="454">
        <v>1</v>
      </c>
      <c r="AF53" s="463">
        <v>1</v>
      </c>
      <c r="AG53" s="455"/>
      <c r="AH53" s="368">
        <f t="shared" si="40"/>
        <v>1</v>
      </c>
      <c r="AI53" s="346">
        <f t="shared" si="41"/>
        <v>108</v>
      </c>
      <c r="AJ53" s="347">
        <f t="shared" si="42"/>
        <v>1</v>
      </c>
      <c r="AK53" s="348">
        <f t="shared" si="43"/>
        <v>108</v>
      </c>
      <c r="AL53" s="345">
        <f t="shared" si="44"/>
        <v>1</v>
      </c>
      <c r="AM53" s="348">
        <f t="shared" si="45"/>
        <v>108</v>
      </c>
      <c r="AN53" s="349" t="str">
        <f t="shared" si="46"/>
        <v>80-100%</v>
      </c>
      <c r="AO53" s="345">
        <f t="shared" si="47"/>
        <v>0</v>
      </c>
      <c r="AP53" s="350">
        <f t="shared" si="48"/>
        <v>0</v>
      </c>
      <c r="AQ53" s="348">
        <f t="shared" si="49"/>
        <v>0.27</v>
      </c>
      <c r="AR53" s="348">
        <f t="shared" si="50"/>
        <v>21</v>
      </c>
      <c r="AS53" s="348">
        <f t="shared" si="51"/>
        <v>108</v>
      </c>
      <c r="AT53" s="463">
        <v>1</v>
      </c>
      <c r="AU53" s="459">
        <f t="shared" si="52"/>
        <v>108</v>
      </c>
      <c r="AV53" s="442"/>
      <c r="AW53" s="813">
        <v>5</v>
      </c>
      <c r="AX53" s="449">
        <v>12</v>
      </c>
      <c r="AY53" s="431">
        <v>12</v>
      </c>
      <c r="AZ53" s="431">
        <v>8</v>
      </c>
      <c r="BA53" s="431"/>
      <c r="BB53" s="442" t="s">
        <v>290</v>
      </c>
      <c r="BC53" s="810">
        <f t="shared" si="53"/>
        <v>1</v>
      </c>
      <c r="BD53" s="348">
        <f t="shared" si="54"/>
        <v>108</v>
      </c>
      <c r="BE53" s="351">
        <f t="shared" si="55"/>
        <v>0</v>
      </c>
      <c r="BF53" s="348">
        <f t="shared" si="56"/>
        <v>0</v>
      </c>
      <c r="BG53" s="351">
        <f t="shared" si="57"/>
        <v>1</v>
      </c>
      <c r="BH53" s="348">
        <f t="shared" si="58"/>
        <v>108</v>
      </c>
      <c r="BI53" s="447">
        <v>2</v>
      </c>
      <c r="BJ53" s="463">
        <v>1</v>
      </c>
      <c r="BK53" s="352">
        <f t="shared" si="59"/>
        <v>108</v>
      </c>
      <c r="BL53" s="353">
        <f t="shared" si="60"/>
        <v>0</v>
      </c>
      <c r="BM53" s="431">
        <v>2</v>
      </c>
      <c r="BN53" s="431" t="s">
        <v>290</v>
      </c>
      <c r="BO53" s="351">
        <f t="shared" si="61"/>
        <v>1</v>
      </c>
      <c r="BP53" s="348">
        <f t="shared" si="62"/>
        <v>108</v>
      </c>
      <c r="BQ53" s="353">
        <f t="shared" si="63"/>
        <v>0</v>
      </c>
      <c r="BR53" s="463">
        <v>1</v>
      </c>
      <c r="BS53" s="348">
        <f t="shared" si="64"/>
        <v>108</v>
      </c>
      <c r="BT53" s="431">
        <v>0</v>
      </c>
      <c r="BU53" s="351">
        <f t="shared" si="65"/>
        <v>0</v>
      </c>
      <c r="BV53" s="353">
        <f t="shared" si="66"/>
        <v>1.07</v>
      </c>
      <c r="BW53" s="455">
        <v>0</v>
      </c>
      <c r="BX53" s="473" t="s">
        <v>788</v>
      </c>
      <c r="BY53" s="475"/>
      <c r="BZ53" s="663" t="s">
        <v>821</v>
      </c>
      <c r="CA53" s="666">
        <v>0</v>
      </c>
      <c r="CB53" s="354" t="str">
        <f t="shared" si="67"/>
        <v>To be realised</v>
      </c>
      <c r="CC53" s="431">
        <v>0</v>
      </c>
      <c r="CD53" s="431">
        <v>3</v>
      </c>
      <c r="CE53" s="358">
        <f t="shared" si="68"/>
        <v>21</v>
      </c>
      <c r="CF53" s="359">
        <f t="shared" si="69"/>
        <v>0</v>
      </c>
      <c r="CG53" s="352">
        <f t="shared" si="70"/>
        <v>0</v>
      </c>
      <c r="CH53" s="654" t="str">
        <f t="shared" si="71"/>
        <v>Column BN to be completed</v>
      </c>
      <c r="CI53" s="449"/>
      <c r="CJ53" s="455">
        <v>0</v>
      </c>
      <c r="CK53" s="372">
        <f t="shared" si="72"/>
        <v>0</v>
      </c>
      <c r="CL53" s="449">
        <v>2</v>
      </c>
      <c r="CM53" s="357" t="str">
        <f t="shared" si="73"/>
        <v>Excellent coverage</v>
      </c>
      <c r="CN53" s="431">
        <v>0</v>
      </c>
      <c r="CO53" s="753" t="s">
        <v>292</v>
      </c>
      <c r="CP53" s="482"/>
    </row>
    <row r="54" spans="2:94" s="36" customFormat="1" ht="30.75" customHeight="1" x14ac:dyDescent="0.2">
      <c r="B54" s="438" t="s">
        <v>200</v>
      </c>
      <c r="C54" s="430" t="s">
        <v>538</v>
      </c>
      <c r="D54" s="430" t="s">
        <v>267</v>
      </c>
      <c r="E54" s="430" t="s">
        <v>207</v>
      </c>
      <c r="F54" s="430">
        <v>97.819062000000002</v>
      </c>
      <c r="G54" s="430">
        <v>23.694047000000001</v>
      </c>
      <c r="H54" s="430" t="s">
        <v>442</v>
      </c>
      <c r="I54" s="430" t="s">
        <v>213</v>
      </c>
      <c r="J54" s="430" t="s">
        <v>814</v>
      </c>
      <c r="K54" s="430" t="s">
        <v>800</v>
      </c>
      <c r="L54" s="721">
        <v>71</v>
      </c>
      <c r="M54" s="721">
        <v>278</v>
      </c>
      <c r="N54" s="431">
        <v>278</v>
      </c>
      <c r="O54" s="660">
        <v>278</v>
      </c>
      <c r="P54" s="796" t="str">
        <f t="shared" si="37"/>
        <v>2. Medium</v>
      </c>
      <c r="Q54" s="797" t="s">
        <v>924</v>
      </c>
      <c r="R54" s="432" t="s">
        <v>234</v>
      </c>
      <c r="S54" s="793" t="s">
        <v>232</v>
      </c>
      <c r="T54" s="365" t="str">
        <f t="shared" si="38"/>
        <v>Covered</v>
      </c>
      <c r="U54" s="437">
        <v>42460</v>
      </c>
      <c r="V54" s="784" t="s">
        <v>252</v>
      </c>
      <c r="W54" s="363" t="str">
        <f t="shared" si="39"/>
        <v>Documented</v>
      </c>
      <c r="X54" s="441">
        <v>0</v>
      </c>
      <c r="Y54" s="431">
        <v>0</v>
      </c>
      <c r="Z54" s="660" t="s">
        <v>19</v>
      </c>
      <c r="AA54" s="442" t="s">
        <v>19</v>
      </c>
      <c r="AB54" s="449">
        <v>0</v>
      </c>
      <c r="AC54" s="431">
        <v>0</v>
      </c>
      <c r="AD54" s="831">
        <v>57600</v>
      </c>
      <c r="AE54" s="454">
        <v>1</v>
      </c>
      <c r="AF54" s="463">
        <v>0</v>
      </c>
      <c r="AG54" s="455"/>
      <c r="AH54" s="368">
        <f t="shared" si="40"/>
        <v>1</v>
      </c>
      <c r="AI54" s="346">
        <f t="shared" si="41"/>
        <v>278</v>
      </c>
      <c r="AJ54" s="347">
        <f t="shared" si="42"/>
        <v>1</v>
      </c>
      <c r="AK54" s="348">
        <f t="shared" si="43"/>
        <v>278</v>
      </c>
      <c r="AL54" s="345">
        <f t="shared" si="44"/>
        <v>1</v>
      </c>
      <c r="AM54" s="348">
        <f t="shared" si="45"/>
        <v>278</v>
      </c>
      <c r="AN54" s="349" t="str">
        <f t="shared" si="46"/>
        <v>80-100%</v>
      </c>
      <c r="AO54" s="345">
        <f t="shared" si="47"/>
        <v>0</v>
      </c>
      <c r="AP54" s="350">
        <f t="shared" si="48"/>
        <v>0</v>
      </c>
      <c r="AQ54" s="348">
        <f t="shared" si="49"/>
        <v>0.69499999999999995</v>
      </c>
      <c r="AR54" s="348">
        <f t="shared" si="50"/>
        <v>0</v>
      </c>
      <c r="AS54" s="348">
        <f t="shared" si="51"/>
        <v>278</v>
      </c>
      <c r="AT54" s="463">
        <v>1</v>
      </c>
      <c r="AU54" s="459">
        <f t="shared" si="52"/>
        <v>278</v>
      </c>
      <c r="AV54" s="448"/>
      <c r="AW54" s="813">
        <v>21</v>
      </c>
      <c r="AX54" s="449">
        <v>9</v>
      </c>
      <c r="AY54" s="431"/>
      <c r="AZ54" s="431">
        <v>9</v>
      </c>
      <c r="BA54" s="431"/>
      <c r="BB54" s="442" t="s">
        <v>89</v>
      </c>
      <c r="BC54" s="810">
        <f t="shared" si="53"/>
        <v>1</v>
      </c>
      <c r="BD54" s="348">
        <f t="shared" si="54"/>
        <v>278</v>
      </c>
      <c r="BE54" s="351">
        <f t="shared" si="55"/>
        <v>0.35251798561151082</v>
      </c>
      <c r="BF54" s="348">
        <f t="shared" si="56"/>
        <v>98.000000000000014</v>
      </c>
      <c r="BG54" s="351">
        <f t="shared" si="57"/>
        <v>0.64748201438848918</v>
      </c>
      <c r="BH54" s="348">
        <f t="shared" si="58"/>
        <v>180</v>
      </c>
      <c r="BI54" s="447">
        <v>4</v>
      </c>
      <c r="BJ54" s="463">
        <v>1</v>
      </c>
      <c r="BK54" s="352">
        <f t="shared" si="59"/>
        <v>278</v>
      </c>
      <c r="BL54" s="353">
        <f t="shared" si="60"/>
        <v>8.9</v>
      </c>
      <c r="BM54" s="431">
        <v>2</v>
      </c>
      <c r="BN54" s="431" t="s">
        <v>89</v>
      </c>
      <c r="BO54" s="351">
        <f t="shared" si="61"/>
        <v>0.71942446043165464</v>
      </c>
      <c r="BP54" s="348">
        <f t="shared" si="62"/>
        <v>200</v>
      </c>
      <c r="BQ54" s="353">
        <f t="shared" si="63"/>
        <v>0.7799999999999998</v>
      </c>
      <c r="BR54" s="463">
        <v>0.75</v>
      </c>
      <c r="BS54" s="348">
        <f t="shared" si="64"/>
        <v>208.5</v>
      </c>
      <c r="BT54" s="431">
        <v>9</v>
      </c>
      <c r="BU54" s="351">
        <f t="shared" si="65"/>
        <v>1</v>
      </c>
      <c r="BV54" s="353">
        <f t="shared" si="66"/>
        <v>0</v>
      </c>
      <c r="BW54" s="451">
        <v>1</v>
      </c>
      <c r="BX54" s="473" t="s">
        <v>838</v>
      </c>
      <c r="BY54" s="475">
        <v>42135</v>
      </c>
      <c r="BZ54" s="663" t="s">
        <v>821</v>
      </c>
      <c r="CA54" s="666"/>
      <c r="CB54" s="354">
        <f t="shared" si="67"/>
        <v>42500</v>
      </c>
      <c r="CC54" s="431">
        <v>85</v>
      </c>
      <c r="CD54" s="431">
        <v>8</v>
      </c>
      <c r="CE54" s="358">
        <f t="shared" si="68"/>
        <v>0</v>
      </c>
      <c r="CF54" s="359">
        <f t="shared" si="69"/>
        <v>1</v>
      </c>
      <c r="CG54" s="352">
        <f t="shared" si="70"/>
        <v>278</v>
      </c>
      <c r="CH54" s="654">
        <f t="shared" si="71"/>
        <v>1</v>
      </c>
      <c r="CI54" s="480"/>
      <c r="CJ54" s="455">
        <v>0</v>
      </c>
      <c r="CK54" s="372">
        <f t="shared" si="72"/>
        <v>0</v>
      </c>
      <c r="CL54" s="449">
        <v>2</v>
      </c>
      <c r="CM54" s="357" t="str">
        <f t="shared" si="73"/>
        <v>Excellent coverage</v>
      </c>
      <c r="CN54" s="431">
        <v>0</v>
      </c>
      <c r="CO54" s="753" t="s">
        <v>292</v>
      </c>
      <c r="CP54" s="482"/>
    </row>
    <row r="55" spans="2:94" s="36" customFormat="1" ht="30.75" customHeight="1" x14ac:dyDescent="0.25">
      <c r="B55" s="438" t="s">
        <v>200</v>
      </c>
      <c r="C55" s="430"/>
      <c r="D55" s="430" t="s">
        <v>267</v>
      </c>
      <c r="E55" s="430" t="s">
        <v>918</v>
      </c>
      <c r="F55" s="430"/>
      <c r="G55" s="430"/>
      <c r="H55" s="430" t="s">
        <v>443</v>
      </c>
      <c r="I55" s="430" t="s">
        <v>213</v>
      </c>
      <c r="J55" s="430" t="s">
        <v>814</v>
      </c>
      <c r="K55" s="430" t="s">
        <v>805</v>
      </c>
      <c r="L55" s="722"/>
      <c r="M55" s="722"/>
      <c r="N55" s="639">
        <v>141</v>
      </c>
      <c r="O55" s="789">
        <v>141</v>
      </c>
      <c r="P55" s="796" t="str">
        <f t="shared" si="37"/>
        <v>1. Small</v>
      </c>
      <c r="Q55" s="797" t="s">
        <v>253</v>
      </c>
      <c r="R55" s="434"/>
      <c r="S55" s="792" t="s">
        <v>232</v>
      </c>
      <c r="T55" s="365" t="str">
        <f t="shared" si="38"/>
        <v>Covered</v>
      </c>
      <c r="U55" s="437">
        <v>42521</v>
      </c>
      <c r="V55" s="783" t="s">
        <v>252</v>
      </c>
      <c r="W55" s="363" t="str">
        <f t="shared" si="39"/>
        <v>Documented</v>
      </c>
      <c r="X55" s="443">
        <v>0</v>
      </c>
      <c r="Y55" s="433">
        <v>0</v>
      </c>
      <c r="Z55" s="659" t="s">
        <v>19</v>
      </c>
      <c r="AA55" s="444" t="s">
        <v>19</v>
      </c>
      <c r="AB55" s="443">
        <v>0</v>
      </c>
      <c r="AC55" s="433">
        <v>0</v>
      </c>
      <c r="AD55" s="832">
        <v>0</v>
      </c>
      <c r="AE55" s="452">
        <v>0</v>
      </c>
      <c r="AF55" s="461">
        <v>0</v>
      </c>
      <c r="AG55" s="453"/>
      <c r="AH55" s="368">
        <f t="shared" si="40"/>
        <v>0</v>
      </c>
      <c r="AI55" s="346">
        <f t="shared" si="41"/>
        <v>0</v>
      </c>
      <c r="AJ55" s="347">
        <f t="shared" si="42"/>
        <v>0</v>
      </c>
      <c r="AK55" s="348">
        <f t="shared" si="43"/>
        <v>0</v>
      </c>
      <c r="AL55" s="345">
        <f t="shared" si="44"/>
        <v>0</v>
      </c>
      <c r="AM55" s="348">
        <f t="shared" si="45"/>
        <v>0</v>
      </c>
      <c r="AN55" s="349" t="str">
        <f t="shared" si="46"/>
        <v>0-10%</v>
      </c>
      <c r="AO55" s="345">
        <f t="shared" si="47"/>
        <v>0</v>
      </c>
      <c r="AP55" s="350">
        <f t="shared" si="48"/>
        <v>0</v>
      </c>
      <c r="AQ55" s="348">
        <f t="shared" si="49"/>
        <v>0.35249999999999998</v>
      </c>
      <c r="AR55" s="348">
        <f t="shared" si="50"/>
        <v>0</v>
      </c>
      <c r="AS55" s="348">
        <f t="shared" si="51"/>
        <v>0</v>
      </c>
      <c r="AT55" s="461">
        <v>1</v>
      </c>
      <c r="AU55" s="459">
        <f t="shared" si="52"/>
        <v>141</v>
      </c>
      <c r="AV55" s="453"/>
      <c r="AW55" s="812">
        <v>0</v>
      </c>
      <c r="AX55" s="443">
        <v>0</v>
      </c>
      <c r="AY55" s="433"/>
      <c r="AZ55" s="433">
        <v>0</v>
      </c>
      <c r="BA55" s="433" t="s">
        <v>888</v>
      </c>
      <c r="BB55" s="444"/>
      <c r="BC55" s="810">
        <f t="shared" si="53"/>
        <v>0</v>
      </c>
      <c r="BD55" s="348">
        <f t="shared" si="54"/>
        <v>0</v>
      </c>
      <c r="BE55" s="351">
        <f t="shared" si="55"/>
        <v>0</v>
      </c>
      <c r="BF55" s="348">
        <f t="shared" si="56"/>
        <v>0</v>
      </c>
      <c r="BG55" s="351">
        <f t="shared" si="57"/>
        <v>0</v>
      </c>
      <c r="BH55" s="348">
        <f t="shared" si="58"/>
        <v>0</v>
      </c>
      <c r="BI55" s="466">
        <v>0</v>
      </c>
      <c r="BJ55" s="461">
        <v>1</v>
      </c>
      <c r="BK55" s="352">
        <f t="shared" si="59"/>
        <v>141</v>
      </c>
      <c r="BL55" s="353">
        <f t="shared" si="60"/>
        <v>7.05</v>
      </c>
      <c r="BM55" s="433">
        <v>0</v>
      </c>
      <c r="BN55" s="433"/>
      <c r="BO55" s="351">
        <f t="shared" si="61"/>
        <v>0</v>
      </c>
      <c r="BP55" s="348">
        <f t="shared" si="62"/>
        <v>0</v>
      </c>
      <c r="BQ55" s="353">
        <f t="shared" si="63"/>
        <v>0</v>
      </c>
      <c r="BR55" s="467">
        <v>0</v>
      </c>
      <c r="BS55" s="348">
        <f t="shared" si="64"/>
        <v>0</v>
      </c>
      <c r="BT55" s="433">
        <v>0</v>
      </c>
      <c r="BU55" s="351">
        <f t="shared" si="65"/>
        <v>0</v>
      </c>
      <c r="BV55" s="353">
        <f t="shared" si="66"/>
        <v>0</v>
      </c>
      <c r="BW55" s="453">
        <v>1</v>
      </c>
      <c r="BX55" s="474"/>
      <c r="BY55" s="476"/>
      <c r="BZ55" s="662"/>
      <c r="CA55" s="665"/>
      <c r="CB55" s="354" t="str">
        <f t="shared" si="67"/>
        <v>To be realised</v>
      </c>
      <c r="CC55" s="466"/>
      <c r="CD55" s="466"/>
      <c r="CE55" s="355">
        <f t="shared" si="68"/>
        <v>0</v>
      </c>
      <c r="CF55" s="356">
        <f t="shared" si="69"/>
        <v>1</v>
      </c>
      <c r="CG55" s="348">
        <f t="shared" si="70"/>
        <v>141</v>
      </c>
      <c r="CH55" s="370" t="str">
        <f t="shared" si="71"/>
        <v>Column BN to be completed</v>
      </c>
      <c r="CI55" s="478"/>
      <c r="CJ55" s="453">
        <v>0</v>
      </c>
      <c r="CK55" s="372">
        <f t="shared" si="72"/>
        <v>0</v>
      </c>
      <c r="CL55" s="478"/>
      <c r="CM55" s="357" t="str">
        <f t="shared" si="73"/>
        <v>No coverage</v>
      </c>
      <c r="CN55" s="447"/>
      <c r="CO55" s="752"/>
      <c r="CP55" s="485"/>
    </row>
    <row r="56" spans="2:94" s="36" customFormat="1" ht="30.75" customHeight="1" x14ac:dyDescent="0.2">
      <c r="B56" s="438" t="s">
        <v>200</v>
      </c>
      <c r="C56" s="430"/>
      <c r="D56" s="430" t="s">
        <v>267</v>
      </c>
      <c r="E56" s="430" t="s">
        <v>723</v>
      </c>
      <c r="F56" s="430">
        <v>97.875889999999998</v>
      </c>
      <c r="G56" s="430">
        <v>23.44744</v>
      </c>
      <c r="H56" s="430" t="s">
        <v>442</v>
      </c>
      <c r="I56" s="430" t="s">
        <v>213</v>
      </c>
      <c r="J56" s="430" t="s">
        <v>814</v>
      </c>
      <c r="K56" s="430" t="s">
        <v>804</v>
      </c>
      <c r="L56" s="721">
        <v>105</v>
      </c>
      <c r="M56" s="721">
        <v>568</v>
      </c>
      <c r="N56" s="431">
        <v>531</v>
      </c>
      <c r="O56" s="660">
        <v>531</v>
      </c>
      <c r="P56" s="796" t="str">
        <f t="shared" si="37"/>
        <v>2. Medium</v>
      </c>
      <c r="Q56" s="797" t="s">
        <v>924</v>
      </c>
      <c r="R56" s="432"/>
      <c r="S56" s="793" t="s">
        <v>232</v>
      </c>
      <c r="T56" s="365" t="str">
        <f t="shared" si="38"/>
        <v>Covered</v>
      </c>
      <c r="U56" s="437">
        <v>42460</v>
      </c>
      <c r="V56" s="784" t="s">
        <v>252</v>
      </c>
      <c r="W56" s="363" t="str">
        <f t="shared" si="39"/>
        <v>Documented</v>
      </c>
      <c r="X56" s="441">
        <v>0</v>
      </c>
      <c r="Y56" s="431">
        <v>0</v>
      </c>
      <c r="Z56" s="660" t="s">
        <v>19</v>
      </c>
      <c r="AA56" s="442" t="s">
        <v>19</v>
      </c>
      <c r="AB56" s="449">
        <v>1</v>
      </c>
      <c r="AC56" s="431">
        <v>0</v>
      </c>
      <c r="AD56" s="831">
        <v>2000</v>
      </c>
      <c r="AE56" s="454">
        <v>1</v>
      </c>
      <c r="AF56" s="463">
        <v>0</v>
      </c>
      <c r="AG56" s="455"/>
      <c r="AH56" s="368">
        <f t="shared" si="40"/>
        <v>1</v>
      </c>
      <c r="AI56" s="346">
        <f t="shared" si="41"/>
        <v>531</v>
      </c>
      <c r="AJ56" s="347">
        <f t="shared" si="42"/>
        <v>1</v>
      </c>
      <c r="AK56" s="348">
        <f t="shared" si="43"/>
        <v>531</v>
      </c>
      <c r="AL56" s="345">
        <f t="shared" si="44"/>
        <v>1</v>
      </c>
      <c r="AM56" s="348">
        <f t="shared" si="45"/>
        <v>531</v>
      </c>
      <c r="AN56" s="349" t="str">
        <f t="shared" si="46"/>
        <v>80-100%</v>
      </c>
      <c r="AO56" s="345">
        <f t="shared" si="47"/>
        <v>0</v>
      </c>
      <c r="AP56" s="350">
        <f t="shared" si="48"/>
        <v>0</v>
      </c>
      <c r="AQ56" s="348">
        <f t="shared" si="49"/>
        <v>0.3274999999999999</v>
      </c>
      <c r="AR56" s="348">
        <f t="shared" si="50"/>
        <v>0</v>
      </c>
      <c r="AS56" s="348">
        <f t="shared" si="51"/>
        <v>531</v>
      </c>
      <c r="AT56" s="463">
        <v>1</v>
      </c>
      <c r="AU56" s="459">
        <f t="shared" si="52"/>
        <v>531</v>
      </c>
      <c r="AV56" s="448"/>
      <c r="AW56" s="813">
        <v>10</v>
      </c>
      <c r="AX56" s="449">
        <v>90</v>
      </c>
      <c r="AY56" s="431">
        <v>90</v>
      </c>
      <c r="AZ56" s="431">
        <v>0</v>
      </c>
      <c r="BA56" s="431"/>
      <c r="BB56" s="442" t="s">
        <v>89</v>
      </c>
      <c r="BC56" s="810">
        <f t="shared" si="53"/>
        <v>1</v>
      </c>
      <c r="BD56" s="348">
        <f t="shared" si="54"/>
        <v>531</v>
      </c>
      <c r="BE56" s="351">
        <f t="shared" si="55"/>
        <v>1</v>
      </c>
      <c r="BF56" s="348">
        <f t="shared" si="56"/>
        <v>531</v>
      </c>
      <c r="BG56" s="351">
        <f t="shared" si="57"/>
        <v>0</v>
      </c>
      <c r="BH56" s="348">
        <f t="shared" si="58"/>
        <v>0</v>
      </c>
      <c r="BI56" s="447">
        <v>0</v>
      </c>
      <c r="BJ56" s="463">
        <v>1</v>
      </c>
      <c r="BK56" s="352">
        <f t="shared" si="59"/>
        <v>531</v>
      </c>
      <c r="BL56" s="353">
        <f t="shared" si="60"/>
        <v>26.55</v>
      </c>
      <c r="BM56" s="431">
        <v>0</v>
      </c>
      <c r="BN56" s="431" t="s">
        <v>89</v>
      </c>
      <c r="BO56" s="351">
        <f t="shared" si="61"/>
        <v>0</v>
      </c>
      <c r="BP56" s="348">
        <f t="shared" si="62"/>
        <v>0</v>
      </c>
      <c r="BQ56" s="353">
        <f t="shared" si="63"/>
        <v>5.68</v>
      </c>
      <c r="BR56" s="463">
        <v>0</v>
      </c>
      <c r="BS56" s="348">
        <f t="shared" si="64"/>
        <v>0</v>
      </c>
      <c r="BT56" s="431">
        <v>0</v>
      </c>
      <c r="BU56" s="351">
        <f t="shared" si="65"/>
        <v>0</v>
      </c>
      <c r="BV56" s="353">
        <f t="shared" si="66"/>
        <v>5.68</v>
      </c>
      <c r="BW56" s="451">
        <v>0</v>
      </c>
      <c r="BX56" s="473" t="s">
        <v>790</v>
      </c>
      <c r="BY56" s="475">
        <v>42102</v>
      </c>
      <c r="BZ56" s="663" t="s">
        <v>821</v>
      </c>
      <c r="CA56" s="666"/>
      <c r="CB56" s="354">
        <f t="shared" si="67"/>
        <v>42467</v>
      </c>
      <c r="CC56" s="431">
        <v>105</v>
      </c>
      <c r="CD56" s="431">
        <v>6</v>
      </c>
      <c r="CE56" s="358">
        <f t="shared" si="68"/>
        <v>0</v>
      </c>
      <c r="CF56" s="359">
        <f t="shared" si="69"/>
        <v>1</v>
      </c>
      <c r="CG56" s="352">
        <f t="shared" si="70"/>
        <v>531</v>
      </c>
      <c r="CH56" s="654">
        <f t="shared" si="71"/>
        <v>4</v>
      </c>
      <c r="CI56" s="480"/>
      <c r="CJ56" s="455">
        <v>0</v>
      </c>
      <c r="CK56" s="372">
        <f t="shared" si="72"/>
        <v>0</v>
      </c>
      <c r="CL56" s="449">
        <v>0</v>
      </c>
      <c r="CM56" s="357" t="str">
        <f t="shared" si="73"/>
        <v>No coverage</v>
      </c>
      <c r="CN56" s="431">
        <v>0</v>
      </c>
      <c r="CO56" s="753" t="s">
        <v>65</v>
      </c>
      <c r="CP56" s="482"/>
    </row>
    <row r="57" spans="2:94" s="36" customFormat="1" ht="30.75" customHeight="1" x14ac:dyDescent="0.2">
      <c r="B57" s="438" t="s">
        <v>200</v>
      </c>
      <c r="C57" s="430" t="s">
        <v>538</v>
      </c>
      <c r="D57" s="430" t="s">
        <v>267</v>
      </c>
      <c r="E57" s="430" t="s">
        <v>208</v>
      </c>
      <c r="F57" s="430">
        <v>97.837040000000002</v>
      </c>
      <c r="G57" s="430">
        <v>23.38503</v>
      </c>
      <c r="H57" s="430" t="s">
        <v>442</v>
      </c>
      <c r="I57" s="430" t="s">
        <v>213</v>
      </c>
      <c r="J57" s="430" t="s">
        <v>814</v>
      </c>
      <c r="K57" s="430" t="s">
        <v>804</v>
      </c>
      <c r="L57" s="721">
        <v>188</v>
      </c>
      <c r="M57" s="721">
        <v>909</v>
      </c>
      <c r="N57" s="431">
        <v>909</v>
      </c>
      <c r="O57" s="660">
        <v>909</v>
      </c>
      <c r="P57" s="796" t="str">
        <f t="shared" si="37"/>
        <v>2. Medium</v>
      </c>
      <c r="Q57" s="797" t="s">
        <v>923</v>
      </c>
      <c r="R57" s="432" t="s">
        <v>234</v>
      </c>
      <c r="S57" s="793" t="s">
        <v>232</v>
      </c>
      <c r="T57" s="365" t="str">
        <f t="shared" si="38"/>
        <v>Covered</v>
      </c>
      <c r="U57" s="437">
        <v>42521</v>
      </c>
      <c r="V57" s="784" t="s">
        <v>252</v>
      </c>
      <c r="W57" s="363" t="str">
        <f t="shared" si="39"/>
        <v>Documented</v>
      </c>
      <c r="X57" s="441">
        <v>0</v>
      </c>
      <c r="Y57" s="431">
        <v>0</v>
      </c>
      <c r="Z57" s="660" t="s">
        <v>19</v>
      </c>
      <c r="AA57" s="442" t="s">
        <v>19</v>
      </c>
      <c r="AB57" s="449">
        <v>0</v>
      </c>
      <c r="AC57" s="431">
        <v>0</v>
      </c>
      <c r="AD57" s="831">
        <v>17000</v>
      </c>
      <c r="AE57" s="454">
        <v>1</v>
      </c>
      <c r="AF57" s="463">
        <v>0</v>
      </c>
      <c r="AG57" s="455"/>
      <c r="AH57" s="368">
        <f t="shared" si="40"/>
        <v>1</v>
      </c>
      <c r="AI57" s="346">
        <f t="shared" si="41"/>
        <v>909</v>
      </c>
      <c r="AJ57" s="347">
        <f t="shared" si="42"/>
        <v>1</v>
      </c>
      <c r="AK57" s="348">
        <f t="shared" si="43"/>
        <v>909</v>
      </c>
      <c r="AL57" s="345">
        <f t="shared" si="44"/>
        <v>1</v>
      </c>
      <c r="AM57" s="348">
        <f t="shared" si="45"/>
        <v>909</v>
      </c>
      <c r="AN57" s="349" t="str">
        <f t="shared" si="46"/>
        <v>80-100%</v>
      </c>
      <c r="AO57" s="345">
        <f t="shared" si="47"/>
        <v>0</v>
      </c>
      <c r="AP57" s="350">
        <f t="shared" si="48"/>
        <v>0</v>
      </c>
      <c r="AQ57" s="348">
        <f t="shared" si="49"/>
        <v>2.2725</v>
      </c>
      <c r="AR57" s="348">
        <f t="shared" si="50"/>
        <v>0</v>
      </c>
      <c r="AS57" s="348">
        <f t="shared" si="51"/>
        <v>909</v>
      </c>
      <c r="AT57" s="463">
        <v>1</v>
      </c>
      <c r="AU57" s="459">
        <f t="shared" si="52"/>
        <v>909</v>
      </c>
      <c r="AV57" s="442" t="s">
        <v>833</v>
      </c>
      <c r="AW57" s="813">
        <v>138</v>
      </c>
      <c r="AX57" s="449">
        <v>81</v>
      </c>
      <c r="AY57" s="431">
        <v>81</v>
      </c>
      <c r="AZ57" s="431">
        <v>0</v>
      </c>
      <c r="BA57" s="431"/>
      <c r="BB57" s="442" t="s">
        <v>289</v>
      </c>
      <c r="BC57" s="810">
        <f t="shared" si="53"/>
        <v>1</v>
      </c>
      <c r="BD57" s="348">
        <f t="shared" si="54"/>
        <v>909</v>
      </c>
      <c r="BE57" s="351">
        <f t="shared" si="55"/>
        <v>1</v>
      </c>
      <c r="BF57" s="348">
        <f t="shared" si="56"/>
        <v>909</v>
      </c>
      <c r="BG57" s="351">
        <f t="shared" si="57"/>
        <v>0</v>
      </c>
      <c r="BH57" s="348">
        <f t="shared" si="58"/>
        <v>0</v>
      </c>
      <c r="BI57" s="447">
        <v>3</v>
      </c>
      <c r="BJ57" s="463">
        <v>1</v>
      </c>
      <c r="BK57" s="352">
        <f t="shared" si="59"/>
        <v>909</v>
      </c>
      <c r="BL57" s="353">
        <f t="shared" si="60"/>
        <v>48.45</v>
      </c>
      <c r="BM57" s="431">
        <v>0</v>
      </c>
      <c r="BN57" s="431" t="s">
        <v>89</v>
      </c>
      <c r="BO57" s="351">
        <f t="shared" si="61"/>
        <v>0</v>
      </c>
      <c r="BP57" s="348">
        <f t="shared" si="62"/>
        <v>0</v>
      </c>
      <c r="BQ57" s="353">
        <f t="shared" si="63"/>
        <v>9.09</v>
      </c>
      <c r="BR57" s="463">
        <v>1</v>
      </c>
      <c r="BS57" s="348">
        <f t="shared" si="64"/>
        <v>909</v>
      </c>
      <c r="BT57" s="431">
        <v>1</v>
      </c>
      <c r="BU57" s="351">
        <f t="shared" si="65"/>
        <v>0.11001100110011001</v>
      </c>
      <c r="BV57" s="353">
        <f t="shared" si="66"/>
        <v>8.09</v>
      </c>
      <c r="BW57" s="451">
        <v>0.12</v>
      </c>
      <c r="BX57" s="473" t="s">
        <v>630</v>
      </c>
      <c r="BY57" s="475">
        <v>42125</v>
      </c>
      <c r="BZ57" s="663" t="s">
        <v>821</v>
      </c>
      <c r="CA57" s="666"/>
      <c r="CB57" s="354">
        <f t="shared" si="67"/>
        <v>42490</v>
      </c>
      <c r="CC57" s="431">
        <v>178</v>
      </c>
      <c r="CD57" s="431">
        <v>8</v>
      </c>
      <c r="CE57" s="358">
        <f t="shared" si="68"/>
        <v>10</v>
      </c>
      <c r="CF57" s="359">
        <f t="shared" si="69"/>
        <v>0.94680851063829785</v>
      </c>
      <c r="CG57" s="352">
        <f t="shared" si="70"/>
        <v>860.64893617021278</v>
      </c>
      <c r="CH57" s="654">
        <f t="shared" si="71"/>
        <v>1</v>
      </c>
      <c r="CI57" s="441" t="s">
        <v>864</v>
      </c>
      <c r="CJ57" s="455">
        <v>0</v>
      </c>
      <c r="CK57" s="372">
        <f t="shared" si="72"/>
        <v>0</v>
      </c>
      <c r="CL57" s="449">
        <v>1</v>
      </c>
      <c r="CM57" s="357" t="str">
        <f t="shared" si="73"/>
        <v>Average coverage</v>
      </c>
      <c r="CN57" s="431">
        <v>0</v>
      </c>
      <c r="CO57" s="753" t="s">
        <v>65</v>
      </c>
      <c r="CP57" s="482"/>
    </row>
    <row r="58" spans="2:94" s="36" customFormat="1" ht="30.75" customHeight="1" x14ac:dyDescent="0.25">
      <c r="B58" s="438" t="s">
        <v>181</v>
      </c>
      <c r="C58" s="430" t="s">
        <v>539</v>
      </c>
      <c r="D58" s="430" t="s">
        <v>265</v>
      </c>
      <c r="E58" s="430" t="s">
        <v>606</v>
      </c>
      <c r="F58" s="430">
        <v>97.609832999999995</v>
      </c>
      <c r="G58" s="430">
        <v>24.002433</v>
      </c>
      <c r="H58" s="430" t="s">
        <v>442</v>
      </c>
      <c r="I58" s="430" t="s">
        <v>221</v>
      </c>
      <c r="J58" s="430" t="s">
        <v>814</v>
      </c>
      <c r="K58" s="430" t="s">
        <v>800</v>
      </c>
      <c r="L58" s="722">
        <v>174</v>
      </c>
      <c r="M58" s="722">
        <v>1185</v>
      </c>
      <c r="N58" s="639">
        <v>742</v>
      </c>
      <c r="O58" s="789">
        <v>742</v>
      </c>
      <c r="P58" s="796" t="str">
        <f t="shared" si="37"/>
        <v>2. Medium</v>
      </c>
      <c r="Q58" s="797" t="s">
        <v>925</v>
      </c>
      <c r="R58" s="434" t="s">
        <v>230</v>
      </c>
      <c r="S58" s="792" t="s">
        <v>284</v>
      </c>
      <c r="T58" s="365" t="str">
        <f t="shared" si="38"/>
        <v>Covered</v>
      </c>
      <c r="U58" s="437">
        <v>42613</v>
      </c>
      <c r="V58" s="783" t="s">
        <v>252</v>
      </c>
      <c r="W58" s="363" t="str">
        <f t="shared" si="39"/>
        <v>Documented</v>
      </c>
      <c r="X58" s="443">
        <v>0</v>
      </c>
      <c r="Y58" s="433">
        <v>0</v>
      </c>
      <c r="Z58" s="659" t="s">
        <v>19</v>
      </c>
      <c r="AA58" s="444" t="s">
        <v>19</v>
      </c>
      <c r="AB58" s="443">
        <v>2</v>
      </c>
      <c r="AC58" s="433">
        <v>0</v>
      </c>
      <c r="AD58" s="832">
        <v>81090</v>
      </c>
      <c r="AE58" s="452">
        <v>0</v>
      </c>
      <c r="AF58" s="461">
        <v>0.95</v>
      </c>
      <c r="AG58" s="453" t="s">
        <v>831</v>
      </c>
      <c r="AH58" s="368">
        <f t="shared" si="40"/>
        <v>1</v>
      </c>
      <c r="AI58" s="346">
        <f t="shared" si="41"/>
        <v>742</v>
      </c>
      <c r="AJ58" s="347">
        <f t="shared" si="42"/>
        <v>1</v>
      </c>
      <c r="AK58" s="348">
        <f t="shared" si="43"/>
        <v>742</v>
      </c>
      <c r="AL58" s="345">
        <f t="shared" si="44"/>
        <v>1</v>
      </c>
      <c r="AM58" s="348">
        <f t="shared" si="45"/>
        <v>742</v>
      </c>
      <c r="AN58" s="349" t="str">
        <f t="shared" si="46"/>
        <v>80-100%</v>
      </c>
      <c r="AO58" s="345">
        <f t="shared" si="47"/>
        <v>0</v>
      </c>
      <c r="AP58" s="350">
        <f t="shared" si="48"/>
        <v>0</v>
      </c>
      <c r="AQ58" s="348">
        <f t="shared" si="49"/>
        <v>0</v>
      </c>
      <c r="AR58" s="348">
        <f t="shared" si="50"/>
        <v>165.29999999999998</v>
      </c>
      <c r="AS58" s="348">
        <f t="shared" si="51"/>
        <v>0</v>
      </c>
      <c r="AT58" s="461">
        <v>1</v>
      </c>
      <c r="AU58" s="459">
        <f t="shared" si="52"/>
        <v>742</v>
      </c>
      <c r="AV58" s="453"/>
      <c r="AW58" s="812">
        <v>0</v>
      </c>
      <c r="AX58" s="443">
        <v>42</v>
      </c>
      <c r="AY58" s="433"/>
      <c r="AZ58" s="433">
        <v>14</v>
      </c>
      <c r="BA58" s="433" t="s">
        <v>889</v>
      </c>
      <c r="BB58" s="444" t="s">
        <v>290</v>
      </c>
      <c r="BC58" s="810">
        <f t="shared" si="53"/>
        <v>1</v>
      </c>
      <c r="BD58" s="348">
        <f t="shared" si="54"/>
        <v>742</v>
      </c>
      <c r="BE58" s="351">
        <f t="shared" si="55"/>
        <v>0.62264150943396224</v>
      </c>
      <c r="BF58" s="348">
        <f t="shared" si="56"/>
        <v>462</v>
      </c>
      <c r="BG58" s="351">
        <f t="shared" si="57"/>
        <v>0.37735849056603776</v>
      </c>
      <c r="BH58" s="348">
        <f t="shared" si="58"/>
        <v>280</v>
      </c>
      <c r="BI58" s="466">
        <v>0</v>
      </c>
      <c r="BJ58" s="461">
        <v>1</v>
      </c>
      <c r="BK58" s="352">
        <f t="shared" si="59"/>
        <v>742</v>
      </c>
      <c r="BL58" s="353">
        <f t="shared" si="60"/>
        <v>23.1</v>
      </c>
      <c r="BM58" s="433">
        <v>4</v>
      </c>
      <c r="BN58" s="433" t="s">
        <v>89</v>
      </c>
      <c r="BO58" s="351">
        <f t="shared" si="61"/>
        <v>0.53908355795148244</v>
      </c>
      <c r="BP58" s="348">
        <f t="shared" si="62"/>
        <v>399.99999999999994</v>
      </c>
      <c r="BQ58" s="353">
        <f t="shared" si="63"/>
        <v>7.85</v>
      </c>
      <c r="BR58" s="467">
        <v>0.54</v>
      </c>
      <c r="BS58" s="348">
        <f t="shared" si="64"/>
        <v>400.68</v>
      </c>
      <c r="BT58" s="433">
        <v>1</v>
      </c>
      <c r="BU58" s="351">
        <f t="shared" si="65"/>
        <v>0.13477088948787061</v>
      </c>
      <c r="BV58" s="353">
        <f t="shared" si="66"/>
        <v>10.85</v>
      </c>
      <c r="BW58" s="453">
        <v>0.13</v>
      </c>
      <c r="BX58" s="474"/>
      <c r="BY58" s="476">
        <v>41726</v>
      </c>
      <c r="BZ58" s="662" t="s">
        <v>821</v>
      </c>
      <c r="CA58" s="665">
        <v>0</v>
      </c>
      <c r="CB58" s="354" t="str">
        <f t="shared" si="67"/>
        <v>To be realised</v>
      </c>
      <c r="CC58" s="466">
        <v>166</v>
      </c>
      <c r="CD58" s="466">
        <v>3</v>
      </c>
      <c r="CE58" s="355">
        <f t="shared" si="68"/>
        <v>174</v>
      </c>
      <c r="CF58" s="356">
        <f t="shared" si="69"/>
        <v>0</v>
      </c>
      <c r="CG58" s="348">
        <f t="shared" si="70"/>
        <v>0</v>
      </c>
      <c r="CH58" s="370">
        <f t="shared" si="71"/>
        <v>19</v>
      </c>
      <c r="CI58" s="478"/>
      <c r="CJ58" s="453">
        <v>1</v>
      </c>
      <c r="CK58" s="372">
        <f t="shared" si="72"/>
        <v>742</v>
      </c>
      <c r="CL58" s="478">
        <v>7</v>
      </c>
      <c r="CM58" s="357" t="str">
        <f t="shared" si="73"/>
        <v>Excellent coverage</v>
      </c>
      <c r="CN58" s="447">
        <v>0</v>
      </c>
      <c r="CO58" s="752" t="s">
        <v>292</v>
      </c>
      <c r="CP58" s="485"/>
    </row>
    <row r="59" spans="2:94" s="36" customFormat="1" ht="30.75" customHeight="1" x14ac:dyDescent="0.2">
      <c r="B59" s="438" t="s">
        <v>181</v>
      </c>
      <c r="C59" s="430" t="s">
        <v>540</v>
      </c>
      <c r="D59" s="430" t="s">
        <v>265</v>
      </c>
      <c r="E59" s="430" t="s">
        <v>607</v>
      </c>
      <c r="F59" s="430">
        <v>97.609832999999995</v>
      </c>
      <c r="G59" s="430">
        <v>24.002433</v>
      </c>
      <c r="H59" s="430" t="s">
        <v>442</v>
      </c>
      <c r="I59" s="430" t="s">
        <v>221</v>
      </c>
      <c r="J59" s="430" t="s">
        <v>814</v>
      </c>
      <c r="K59" s="430" t="s">
        <v>800</v>
      </c>
      <c r="L59" s="721">
        <v>219</v>
      </c>
      <c r="M59" s="721">
        <v>891</v>
      </c>
      <c r="N59" s="431">
        <v>878</v>
      </c>
      <c r="O59" s="660">
        <v>878</v>
      </c>
      <c r="P59" s="796" t="str">
        <f t="shared" si="37"/>
        <v>2. Medium</v>
      </c>
      <c r="Q59" s="797" t="s">
        <v>925</v>
      </c>
      <c r="R59" s="432" t="s">
        <v>277</v>
      </c>
      <c r="S59" s="793" t="s">
        <v>284</v>
      </c>
      <c r="T59" s="365" t="str">
        <f t="shared" si="38"/>
        <v>Covered</v>
      </c>
      <c r="U59" s="437">
        <v>42613</v>
      </c>
      <c r="V59" s="784" t="s">
        <v>252</v>
      </c>
      <c r="W59" s="363" t="str">
        <f t="shared" si="39"/>
        <v>Documented</v>
      </c>
      <c r="X59" s="441">
        <v>0</v>
      </c>
      <c r="Y59" s="431">
        <v>0</v>
      </c>
      <c r="Z59" s="660" t="s">
        <v>19</v>
      </c>
      <c r="AA59" s="442" t="s">
        <v>19</v>
      </c>
      <c r="AB59" s="449">
        <v>3</v>
      </c>
      <c r="AC59" s="431">
        <v>0</v>
      </c>
      <c r="AD59" s="831">
        <v>38340</v>
      </c>
      <c r="AE59" s="454">
        <v>0</v>
      </c>
      <c r="AF59" s="463">
        <v>0.45</v>
      </c>
      <c r="AG59" s="455" t="s">
        <v>831</v>
      </c>
      <c r="AH59" s="368">
        <f t="shared" si="40"/>
        <v>1</v>
      </c>
      <c r="AI59" s="346">
        <f t="shared" si="41"/>
        <v>878</v>
      </c>
      <c r="AJ59" s="347">
        <f t="shared" si="42"/>
        <v>1</v>
      </c>
      <c r="AK59" s="348">
        <f t="shared" si="43"/>
        <v>878</v>
      </c>
      <c r="AL59" s="345">
        <f t="shared" si="44"/>
        <v>1</v>
      </c>
      <c r="AM59" s="348">
        <f t="shared" si="45"/>
        <v>878</v>
      </c>
      <c r="AN59" s="349" t="str">
        <f t="shared" si="46"/>
        <v>80-100%</v>
      </c>
      <c r="AO59" s="345">
        <f t="shared" si="47"/>
        <v>0</v>
      </c>
      <c r="AP59" s="350">
        <f t="shared" si="48"/>
        <v>0</v>
      </c>
      <c r="AQ59" s="348">
        <f t="shared" si="49"/>
        <v>0</v>
      </c>
      <c r="AR59" s="348">
        <f t="shared" si="50"/>
        <v>98.55</v>
      </c>
      <c r="AS59" s="348">
        <f t="shared" si="51"/>
        <v>0</v>
      </c>
      <c r="AT59" s="463">
        <v>1</v>
      </c>
      <c r="AU59" s="459">
        <f t="shared" si="52"/>
        <v>878</v>
      </c>
      <c r="AV59" s="442"/>
      <c r="AW59" s="813">
        <v>15</v>
      </c>
      <c r="AX59" s="449">
        <v>21</v>
      </c>
      <c r="AY59" s="431"/>
      <c r="AZ59" s="431">
        <v>31</v>
      </c>
      <c r="BA59" s="431" t="s">
        <v>888</v>
      </c>
      <c r="BB59" s="442" t="s">
        <v>290</v>
      </c>
      <c r="BC59" s="810">
        <f t="shared" si="53"/>
        <v>1</v>
      </c>
      <c r="BD59" s="348">
        <f t="shared" si="54"/>
        <v>878</v>
      </c>
      <c r="BE59" s="351">
        <f t="shared" si="55"/>
        <v>0.29384965831435084</v>
      </c>
      <c r="BF59" s="348">
        <f t="shared" si="56"/>
        <v>258.00000000000006</v>
      </c>
      <c r="BG59" s="351">
        <f t="shared" si="57"/>
        <v>0.70615034168564916</v>
      </c>
      <c r="BH59" s="348">
        <f t="shared" si="58"/>
        <v>620</v>
      </c>
      <c r="BI59" s="447">
        <v>0</v>
      </c>
      <c r="BJ59" s="463">
        <v>1</v>
      </c>
      <c r="BK59" s="352">
        <f t="shared" si="59"/>
        <v>878</v>
      </c>
      <c r="BL59" s="353">
        <f t="shared" si="60"/>
        <v>12.899999999999999</v>
      </c>
      <c r="BM59" s="431">
        <v>3</v>
      </c>
      <c r="BN59" s="431" t="s">
        <v>290</v>
      </c>
      <c r="BO59" s="351">
        <f t="shared" si="61"/>
        <v>0.34168564920273348</v>
      </c>
      <c r="BP59" s="348">
        <f t="shared" si="62"/>
        <v>300</v>
      </c>
      <c r="BQ59" s="353">
        <f t="shared" si="63"/>
        <v>5.91</v>
      </c>
      <c r="BR59" s="463">
        <v>0.34</v>
      </c>
      <c r="BS59" s="348">
        <f t="shared" si="64"/>
        <v>298.52000000000004</v>
      </c>
      <c r="BT59" s="431">
        <v>3</v>
      </c>
      <c r="BU59" s="351">
        <f t="shared" si="65"/>
        <v>0.34168564920273348</v>
      </c>
      <c r="BV59" s="353">
        <f t="shared" si="66"/>
        <v>5.91</v>
      </c>
      <c r="BW59" s="451">
        <v>0.34</v>
      </c>
      <c r="BX59" s="473"/>
      <c r="BY59" s="475">
        <v>41996</v>
      </c>
      <c r="BZ59" s="663" t="s">
        <v>820</v>
      </c>
      <c r="CA59" s="666">
        <v>0</v>
      </c>
      <c r="CB59" s="354" t="str">
        <f t="shared" si="67"/>
        <v>To be realised</v>
      </c>
      <c r="CC59" s="431">
        <v>206</v>
      </c>
      <c r="CD59" s="431">
        <v>0</v>
      </c>
      <c r="CE59" s="358">
        <f t="shared" si="68"/>
        <v>219</v>
      </c>
      <c r="CF59" s="359">
        <f t="shared" si="69"/>
        <v>0</v>
      </c>
      <c r="CG59" s="352">
        <f t="shared" si="70"/>
        <v>0</v>
      </c>
      <c r="CH59" s="654">
        <f t="shared" si="71"/>
        <v>13</v>
      </c>
      <c r="CI59" s="441"/>
      <c r="CJ59" s="455">
        <v>1</v>
      </c>
      <c r="CK59" s="372">
        <f t="shared" si="72"/>
        <v>878</v>
      </c>
      <c r="CL59" s="449">
        <v>12</v>
      </c>
      <c r="CM59" s="357" t="str">
        <f t="shared" si="73"/>
        <v>Excellent coverage</v>
      </c>
      <c r="CN59" s="431">
        <v>0</v>
      </c>
      <c r="CO59" s="753" t="s">
        <v>292</v>
      </c>
      <c r="CP59" s="482"/>
    </row>
    <row r="60" spans="2:94" s="36" customFormat="1" ht="30.75" customHeight="1" x14ac:dyDescent="0.25">
      <c r="B60" s="438" t="s">
        <v>181</v>
      </c>
      <c r="C60" s="430" t="s">
        <v>539</v>
      </c>
      <c r="D60" s="430" t="s">
        <v>265</v>
      </c>
      <c r="E60" s="430" t="s">
        <v>706</v>
      </c>
      <c r="F60" s="430">
        <v>97.602490000000003</v>
      </c>
      <c r="G60" s="430">
        <v>24.000039999999998</v>
      </c>
      <c r="H60" s="430" t="s">
        <v>442</v>
      </c>
      <c r="I60" s="430" t="s">
        <v>221</v>
      </c>
      <c r="J60" s="430" t="s">
        <v>814</v>
      </c>
      <c r="K60" s="430" t="s">
        <v>800</v>
      </c>
      <c r="L60" s="722"/>
      <c r="M60" s="722"/>
      <c r="N60" s="639">
        <v>201</v>
      </c>
      <c r="O60" s="789">
        <v>201</v>
      </c>
      <c r="P60" s="796" t="str">
        <f t="shared" si="37"/>
        <v>1. Small</v>
      </c>
      <c r="Q60" s="797" t="s">
        <v>925</v>
      </c>
      <c r="R60" s="434"/>
      <c r="S60" s="792" t="s">
        <v>284</v>
      </c>
      <c r="T60" s="365" t="str">
        <f t="shared" si="38"/>
        <v>Covered</v>
      </c>
      <c r="U60" s="437">
        <v>42613</v>
      </c>
      <c r="V60" s="783" t="s">
        <v>252</v>
      </c>
      <c r="W60" s="363" t="str">
        <f t="shared" si="39"/>
        <v>Documented</v>
      </c>
      <c r="X60" s="443">
        <v>0</v>
      </c>
      <c r="Y60" s="433">
        <v>0</v>
      </c>
      <c r="Z60" s="659" t="s">
        <v>19</v>
      </c>
      <c r="AA60" s="444" t="s">
        <v>19</v>
      </c>
      <c r="AB60" s="443">
        <v>1</v>
      </c>
      <c r="AC60" s="433">
        <v>0</v>
      </c>
      <c r="AD60" s="832">
        <v>10000</v>
      </c>
      <c r="AE60" s="452">
        <v>0</v>
      </c>
      <c r="AF60" s="461">
        <v>0</v>
      </c>
      <c r="AG60" s="453"/>
      <c r="AH60" s="368">
        <f t="shared" si="40"/>
        <v>1</v>
      </c>
      <c r="AI60" s="346">
        <f t="shared" si="41"/>
        <v>201</v>
      </c>
      <c r="AJ60" s="347">
        <f t="shared" si="42"/>
        <v>1</v>
      </c>
      <c r="AK60" s="348">
        <f t="shared" si="43"/>
        <v>201</v>
      </c>
      <c r="AL60" s="345">
        <f t="shared" si="44"/>
        <v>1</v>
      </c>
      <c r="AM60" s="348">
        <f t="shared" si="45"/>
        <v>201</v>
      </c>
      <c r="AN60" s="349" t="str">
        <f t="shared" si="46"/>
        <v>80-100%</v>
      </c>
      <c r="AO60" s="345">
        <f t="shared" si="47"/>
        <v>0</v>
      </c>
      <c r="AP60" s="350">
        <f t="shared" si="48"/>
        <v>0</v>
      </c>
      <c r="AQ60" s="348">
        <f t="shared" si="49"/>
        <v>0</v>
      </c>
      <c r="AR60" s="348">
        <f t="shared" si="50"/>
        <v>0</v>
      </c>
      <c r="AS60" s="348">
        <f t="shared" si="51"/>
        <v>0</v>
      </c>
      <c r="AT60" s="461">
        <v>1</v>
      </c>
      <c r="AU60" s="459">
        <f t="shared" si="52"/>
        <v>201</v>
      </c>
      <c r="AV60" s="453"/>
      <c r="AW60" s="812">
        <v>0</v>
      </c>
      <c r="AX60" s="443">
        <v>0</v>
      </c>
      <c r="AY60" s="433"/>
      <c r="AZ60" s="433">
        <v>20</v>
      </c>
      <c r="BA60" s="433" t="s">
        <v>889</v>
      </c>
      <c r="BB60" s="444" t="s">
        <v>290</v>
      </c>
      <c r="BC60" s="810">
        <f t="shared" si="53"/>
        <v>1</v>
      </c>
      <c r="BD60" s="348">
        <f t="shared" si="54"/>
        <v>201</v>
      </c>
      <c r="BE60" s="351">
        <f t="shared" si="55"/>
        <v>0</v>
      </c>
      <c r="BF60" s="348">
        <f t="shared" si="56"/>
        <v>0</v>
      </c>
      <c r="BG60" s="351">
        <f t="shared" si="57"/>
        <v>1</v>
      </c>
      <c r="BH60" s="348">
        <f t="shared" si="58"/>
        <v>201</v>
      </c>
      <c r="BI60" s="466">
        <v>0</v>
      </c>
      <c r="BJ60" s="461">
        <v>1</v>
      </c>
      <c r="BK60" s="352">
        <f t="shared" si="59"/>
        <v>201</v>
      </c>
      <c r="BL60" s="353">
        <f t="shared" si="60"/>
        <v>0</v>
      </c>
      <c r="BM60" s="433">
        <v>4</v>
      </c>
      <c r="BN60" s="433" t="s">
        <v>290</v>
      </c>
      <c r="BO60" s="351">
        <f t="shared" si="61"/>
        <v>1</v>
      </c>
      <c r="BP60" s="348">
        <f t="shared" si="62"/>
        <v>201</v>
      </c>
      <c r="BQ60" s="353">
        <f t="shared" si="63"/>
        <v>0</v>
      </c>
      <c r="BR60" s="467">
        <v>1</v>
      </c>
      <c r="BS60" s="348">
        <f t="shared" si="64"/>
        <v>201</v>
      </c>
      <c r="BT60" s="433">
        <v>5</v>
      </c>
      <c r="BU60" s="351">
        <f t="shared" si="65"/>
        <v>1</v>
      </c>
      <c r="BV60" s="353">
        <f t="shared" si="66"/>
        <v>0</v>
      </c>
      <c r="BW60" s="453">
        <v>1</v>
      </c>
      <c r="BX60" s="474" t="s">
        <v>839</v>
      </c>
      <c r="BY60" s="476">
        <v>42107</v>
      </c>
      <c r="BZ60" s="662" t="s">
        <v>820</v>
      </c>
      <c r="CA60" s="665">
        <v>0</v>
      </c>
      <c r="CB60" s="354">
        <f t="shared" si="67"/>
        <v>42472</v>
      </c>
      <c r="CC60" s="466">
        <v>47</v>
      </c>
      <c r="CD60" s="466">
        <v>0</v>
      </c>
      <c r="CE60" s="355">
        <f t="shared" si="68"/>
        <v>0</v>
      </c>
      <c r="CF60" s="356">
        <f t="shared" si="69"/>
        <v>1</v>
      </c>
      <c r="CG60" s="348">
        <f t="shared" si="70"/>
        <v>201</v>
      </c>
      <c r="CH60" s="370">
        <f t="shared" si="71"/>
        <v>10</v>
      </c>
      <c r="CI60" s="478"/>
      <c r="CJ60" s="453">
        <v>1</v>
      </c>
      <c r="CK60" s="372">
        <f t="shared" si="72"/>
        <v>201</v>
      </c>
      <c r="CL60" s="478">
        <v>2</v>
      </c>
      <c r="CM60" s="357" t="str">
        <f t="shared" si="73"/>
        <v>Excellent coverage</v>
      </c>
      <c r="CN60" s="447">
        <v>0</v>
      </c>
      <c r="CO60" s="752" t="s">
        <v>292</v>
      </c>
      <c r="CP60" s="485"/>
    </row>
    <row r="61" spans="2:94" s="36" customFormat="1" ht="30.75" customHeight="1" x14ac:dyDescent="0.2">
      <c r="B61" s="438" t="s">
        <v>181</v>
      </c>
      <c r="C61" s="430" t="s">
        <v>684</v>
      </c>
      <c r="D61" s="430" t="s">
        <v>266</v>
      </c>
      <c r="E61" s="430" t="s">
        <v>658</v>
      </c>
      <c r="F61" s="430">
        <v>97.590767</v>
      </c>
      <c r="G61" s="430">
        <v>23.829599000000002</v>
      </c>
      <c r="H61" s="430" t="s">
        <v>442</v>
      </c>
      <c r="I61" s="430" t="s">
        <v>213</v>
      </c>
      <c r="J61" s="430" t="s">
        <v>813</v>
      </c>
      <c r="K61" s="430" t="s">
        <v>800</v>
      </c>
      <c r="L61" s="722">
        <v>319</v>
      </c>
      <c r="M61" s="722">
        <v>1567</v>
      </c>
      <c r="N61" s="639">
        <v>493</v>
      </c>
      <c r="O61" s="660">
        <v>493</v>
      </c>
      <c r="P61" s="796" t="str">
        <f t="shared" si="37"/>
        <v>3. Large</v>
      </c>
      <c r="Q61" s="797" t="s">
        <v>253</v>
      </c>
      <c r="R61" s="432" t="s">
        <v>234</v>
      </c>
      <c r="S61" s="793" t="s">
        <v>407</v>
      </c>
      <c r="T61" s="365" t="str">
        <f t="shared" si="38"/>
        <v>Covered</v>
      </c>
      <c r="U61" s="437">
        <v>42613</v>
      </c>
      <c r="V61" s="784" t="s">
        <v>252</v>
      </c>
      <c r="W61" s="363" t="str">
        <f t="shared" si="39"/>
        <v>Documented</v>
      </c>
      <c r="X61" s="441">
        <v>0</v>
      </c>
      <c r="Y61" s="431">
        <v>0</v>
      </c>
      <c r="Z61" s="660" t="s">
        <v>19</v>
      </c>
      <c r="AA61" s="442" t="s">
        <v>19</v>
      </c>
      <c r="AB61" s="441">
        <v>3</v>
      </c>
      <c r="AC61" s="447">
        <v>0</v>
      </c>
      <c r="AD61" s="831">
        <v>20335</v>
      </c>
      <c r="AE61" s="454">
        <v>0.5</v>
      </c>
      <c r="AF61" s="463">
        <v>0.29487099999999999</v>
      </c>
      <c r="AG61" s="455" t="s">
        <v>830</v>
      </c>
      <c r="AH61" s="368">
        <f t="shared" si="40"/>
        <v>1</v>
      </c>
      <c r="AI61" s="346">
        <f t="shared" si="41"/>
        <v>493</v>
      </c>
      <c r="AJ61" s="347">
        <f t="shared" si="42"/>
        <v>1</v>
      </c>
      <c r="AK61" s="348">
        <f t="shared" si="43"/>
        <v>493</v>
      </c>
      <c r="AL61" s="345">
        <f t="shared" si="44"/>
        <v>1</v>
      </c>
      <c r="AM61" s="348">
        <f t="shared" si="45"/>
        <v>493</v>
      </c>
      <c r="AN61" s="349" t="str">
        <f t="shared" si="46"/>
        <v>80-100%</v>
      </c>
      <c r="AO61" s="345">
        <f t="shared" si="47"/>
        <v>0</v>
      </c>
      <c r="AP61" s="350">
        <f t="shared" si="48"/>
        <v>0</v>
      </c>
      <c r="AQ61" s="348">
        <f t="shared" si="49"/>
        <v>0</v>
      </c>
      <c r="AR61" s="348">
        <f t="shared" si="50"/>
        <v>94.063849000000005</v>
      </c>
      <c r="AS61" s="348">
        <f t="shared" si="51"/>
        <v>246.5</v>
      </c>
      <c r="AT61" s="458">
        <v>1</v>
      </c>
      <c r="AU61" s="459">
        <f t="shared" si="52"/>
        <v>493</v>
      </c>
      <c r="AV61" s="448"/>
      <c r="AW61" s="813">
        <v>64</v>
      </c>
      <c r="AX61" s="443">
        <v>0</v>
      </c>
      <c r="AY61" s="433"/>
      <c r="AZ61" s="433">
        <v>12</v>
      </c>
      <c r="BA61" s="433" t="s">
        <v>889</v>
      </c>
      <c r="BB61" s="442" t="s">
        <v>89</v>
      </c>
      <c r="BC61" s="810">
        <f t="shared" si="53"/>
        <v>0.48681541582150101</v>
      </c>
      <c r="BD61" s="348">
        <f t="shared" si="54"/>
        <v>240</v>
      </c>
      <c r="BE61" s="351">
        <f t="shared" si="55"/>
        <v>0</v>
      </c>
      <c r="BF61" s="348">
        <f t="shared" si="56"/>
        <v>0</v>
      </c>
      <c r="BG61" s="351">
        <f t="shared" si="57"/>
        <v>0.48681541582150101</v>
      </c>
      <c r="BH61" s="348">
        <f t="shared" si="58"/>
        <v>240</v>
      </c>
      <c r="BI61" s="447">
        <v>0</v>
      </c>
      <c r="BJ61" s="463">
        <v>1</v>
      </c>
      <c r="BK61" s="352">
        <f t="shared" si="59"/>
        <v>493</v>
      </c>
      <c r="BL61" s="353">
        <f t="shared" si="60"/>
        <v>12.649999999999999</v>
      </c>
      <c r="BM61" s="431">
        <v>2</v>
      </c>
      <c r="BN61" s="431" t="s">
        <v>291</v>
      </c>
      <c r="BO61" s="351">
        <f t="shared" si="61"/>
        <v>0.40567951318458417</v>
      </c>
      <c r="BP61" s="348">
        <f t="shared" si="62"/>
        <v>200</v>
      </c>
      <c r="BQ61" s="353">
        <f t="shared" si="63"/>
        <v>13.67</v>
      </c>
      <c r="BR61" s="463">
        <v>0.86207</v>
      </c>
      <c r="BS61" s="348">
        <f t="shared" si="64"/>
        <v>425.00051000000002</v>
      </c>
      <c r="BT61" s="431">
        <v>2</v>
      </c>
      <c r="BU61" s="351">
        <f t="shared" si="65"/>
        <v>0.40567951318458417</v>
      </c>
      <c r="BV61" s="353">
        <f t="shared" si="66"/>
        <v>13.67</v>
      </c>
      <c r="BW61" s="451">
        <v>1</v>
      </c>
      <c r="BX61" s="473"/>
      <c r="BY61" s="475">
        <v>41835</v>
      </c>
      <c r="BZ61" s="663" t="s">
        <v>821</v>
      </c>
      <c r="CA61" s="666">
        <v>0</v>
      </c>
      <c r="CB61" s="354" t="str">
        <f t="shared" si="67"/>
        <v>To be realised</v>
      </c>
      <c r="CC61" s="431">
        <v>153</v>
      </c>
      <c r="CD61" s="431">
        <v>10</v>
      </c>
      <c r="CE61" s="355">
        <f t="shared" si="68"/>
        <v>319</v>
      </c>
      <c r="CF61" s="356">
        <f t="shared" si="69"/>
        <v>0</v>
      </c>
      <c r="CG61" s="348">
        <f t="shared" si="70"/>
        <v>0</v>
      </c>
      <c r="CH61" s="370">
        <f t="shared" si="71"/>
        <v>9</v>
      </c>
      <c r="CI61" s="441"/>
      <c r="CJ61" s="451">
        <v>0.75</v>
      </c>
      <c r="CK61" s="372">
        <f t="shared" si="72"/>
        <v>369.75</v>
      </c>
      <c r="CL61" s="441">
        <v>0</v>
      </c>
      <c r="CM61" s="357" t="str">
        <f t="shared" si="73"/>
        <v>No coverage</v>
      </c>
      <c r="CN61" s="447">
        <v>0</v>
      </c>
      <c r="CO61" s="753" t="s">
        <v>292</v>
      </c>
      <c r="CP61" s="482"/>
    </row>
    <row r="62" spans="2:94" s="36" customFormat="1" ht="30.75" customHeight="1" x14ac:dyDescent="0.2">
      <c r="B62" s="438" t="s">
        <v>181</v>
      </c>
      <c r="C62" s="430" t="s">
        <v>541</v>
      </c>
      <c r="D62" s="430" t="s">
        <v>265</v>
      </c>
      <c r="E62" s="430" t="s">
        <v>775</v>
      </c>
      <c r="F62" s="430">
        <v>97.625617000000005</v>
      </c>
      <c r="G62" s="430">
        <v>24.056132999999999</v>
      </c>
      <c r="H62" s="430" t="s">
        <v>442</v>
      </c>
      <c r="I62" s="430" t="s">
        <v>221</v>
      </c>
      <c r="J62" s="430" t="s">
        <v>814</v>
      </c>
      <c r="K62" s="430" t="s">
        <v>800</v>
      </c>
      <c r="L62" s="722">
        <v>541</v>
      </c>
      <c r="M62" s="722">
        <v>2607</v>
      </c>
      <c r="N62" s="639">
        <v>2561</v>
      </c>
      <c r="O62" s="660">
        <v>2561</v>
      </c>
      <c r="P62" s="796" t="str">
        <f t="shared" si="37"/>
        <v>4. Big</v>
      </c>
      <c r="Q62" s="797" t="s">
        <v>925</v>
      </c>
      <c r="R62" s="432" t="s">
        <v>230</v>
      </c>
      <c r="S62" s="793" t="s">
        <v>284</v>
      </c>
      <c r="T62" s="365" t="str">
        <f t="shared" si="38"/>
        <v>Covered</v>
      </c>
      <c r="U62" s="437">
        <v>42613</v>
      </c>
      <c r="V62" s="784" t="s">
        <v>252</v>
      </c>
      <c r="W62" s="363" t="str">
        <f t="shared" si="39"/>
        <v>Documented</v>
      </c>
      <c r="X62" s="441">
        <v>0</v>
      </c>
      <c r="Y62" s="431">
        <v>0</v>
      </c>
      <c r="Z62" s="660" t="s">
        <v>19</v>
      </c>
      <c r="AA62" s="442" t="s">
        <v>19</v>
      </c>
      <c r="AB62" s="441">
        <v>2</v>
      </c>
      <c r="AC62" s="447">
        <v>0</v>
      </c>
      <c r="AD62" s="831">
        <v>128565</v>
      </c>
      <c r="AE62" s="454">
        <v>0</v>
      </c>
      <c r="AF62" s="463">
        <v>0.5</v>
      </c>
      <c r="AG62" s="455" t="s">
        <v>831</v>
      </c>
      <c r="AH62" s="368">
        <f t="shared" si="40"/>
        <v>1</v>
      </c>
      <c r="AI62" s="346">
        <f t="shared" si="41"/>
        <v>2561</v>
      </c>
      <c r="AJ62" s="347">
        <f t="shared" si="42"/>
        <v>1</v>
      </c>
      <c r="AK62" s="348">
        <f t="shared" si="43"/>
        <v>2561</v>
      </c>
      <c r="AL62" s="345">
        <f t="shared" si="44"/>
        <v>1</v>
      </c>
      <c r="AM62" s="348">
        <f t="shared" si="45"/>
        <v>2561</v>
      </c>
      <c r="AN62" s="349" t="str">
        <f t="shared" si="46"/>
        <v>80-100%</v>
      </c>
      <c r="AO62" s="345">
        <f t="shared" si="47"/>
        <v>0</v>
      </c>
      <c r="AP62" s="350">
        <f t="shared" si="48"/>
        <v>0</v>
      </c>
      <c r="AQ62" s="348">
        <f t="shared" si="49"/>
        <v>4.4024999999999999</v>
      </c>
      <c r="AR62" s="348">
        <f t="shared" si="50"/>
        <v>270.5</v>
      </c>
      <c r="AS62" s="348">
        <f t="shared" si="51"/>
        <v>0</v>
      </c>
      <c r="AT62" s="458">
        <v>1</v>
      </c>
      <c r="AU62" s="459">
        <f t="shared" si="52"/>
        <v>2561</v>
      </c>
      <c r="AV62" s="448"/>
      <c r="AW62" s="813">
        <v>12</v>
      </c>
      <c r="AX62" s="443">
        <v>20</v>
      </c>
      <c r="AY62" s="433"/>
      <c r="AZ62" s="433">
        <v>82</v>
      </c>
      <c r="BA62" s="433" t="s">
        <v>889</v>
      </c>
      <c r="BB62" s="442" t="s">
        <v>291</v>
      </c>
      <c r="BC62" s="810">
        <f t="shared" si="53"/>
        <v>0.79656384224912147</v>
      </c>
      <c r="BD62" s="348">
        <f t="shared" si="54"/>
        <v>2040</v>
      </c>
      <c r="BE62" s="351">
        <f t="shared" si="55"/>
        <v>0.15618898867629838</v>
      </c>
      <c r="BF62" s="348">
        <f t="shared" si="56"/>
        <v>400.00000000000017</v>
      </c>
      <c r="BG62" s="351">
        <f t="shared" si="57"/>
        <v>0.64037485357282309</v>
      </c>
      <c r="BH62" s="348">
        <f t="shared" si="58"/>
        <v>1640</v>
      </c>
      <c r="BI62" s="447">
        <v>1</v>
      </c>
      <c r="BJ62" s="463">
        <v>0.8</v>
      </c>
      <c r="BK62" s="352">
        <f t="shared" si="59"/>
        <v>2048.8000000000002</v>
      </c>
      <c r="BL62" s="353">
        <f t="shared" si="60"/>
        <v>47.050000000000011</v>
      </c>
      <c r="BM62" s="431">
        <v>3</v>
      </c>
      <c r="BN62" s="431" t="s">
        <v>89</v>
      </c>
      <c r="BO62" s="351">
        <f t="shared" si="61"/>
        <v>0.11714174150722374</v>
      </c>
      <c r="BP62" s="348">
        <f t="shared" si="62"/>
        <v>300</v>
      </c>
      <c r="BQ62" s="353">
        <f t="shared" si="63"/>
        <v>23.07</v>
      </c>
      <c r="BR62" s="463">
        <v>0.12</v>
      </c>
      <c r="BS62" s="348">
        <f t="shared" si="64"/>
        <v>307.32</v>
      </c>
      <c r="BT62" s="431">
        <v>0</v>
      </c>
      <c r="BU62" s="351">
        <f t="shared" si="65"/>
        <v>0</v>
      </c>
      <c r="BV62" s="353">
        <f t="shared" si="66"/>
        <v>26.07</v>
      </c>
      <c r="BW62" s="451">
        <v>0</v>
      </c>
      <c r="BX62" s="473"/>
      <c r="BY62" s="475">
        <v>41996</v>
      </c>
      <c r="BZ62" s="663" t="s">
        <v>820</v>
      </c>
      <c r="CA62" s="666">
        <v>0</v>
      </c>
      <c r="CB62" s="354" t="str">
        <f t="shared" si="67"/>
        <v>To be realised</v>
      </c>
      <c r="CC62" s="431">
        <v>563</v>
      </c>
      <c r="CD62" s="431">
        <v>0</v>
      </c>
      <c r="CE62" s="355">
        <f t="shared" si="68"/>
        <v>541</v>
      </c>
      <c r="CF62" s="356">
        <f t="shared" si="69"/>
        <v>0</v>
      </c>
      <c r="CG62" s="348">
        <f t="shared" si="70"/>
        <v>0</v>
      </c>
      <c r="CH62" s="370">
        <f t="shared" si="71"/>
        <v>13</v>
      </c>
      <c r="CI62" s="441"/>
      <c r="CJ62" s="451">
        <v>1</v>
      </c>
      <c r="CK62" s="372">
        <f t="shared" si="72"/>
        <v>2561</v>
      </c>
      <c r="CL62" s="441">
        <v>23</v>
      </c>
      <c r="CM62" s="357" t="str">
        <f t="shared" si="73"/>
        <v>Excellent coverage</v>
      </c>
      <c r="CN62" s="447">
        <v>0</v>
      </c>
      <c r="CO62" s="753" t="s">
        <v>292</v>
      </c>
      <c r="CP62" s="482"/>
    </row>
    <row r="63" spans="2:94" s="36" customFormat="1" ht="30.75" customHeight="1" x14ac:dyDescent="0.2">
      <c r="B63" s="438" t="s">
        <v>181</v>
      </c>
      <c r="C63" s="430" t="s">
        <v>542</v>
      </c>
      <c r="D63" s="430" t="s">
        <v>265</v>
      </c>
      <c r="E63" s="430" t="s">
        <v>311</v>
      </c>
      <c r="F63" s="430">
        <v>97.710989999999995</v>
      </c>
      <c r="G63" s="430">
        <v>24.181640000000002</v>
      </c>
      <c r="H63" s="430" t="s">
        <v>442</v>
      </c>
      <c r="I63" s="430" t="s">
        <v>213</v>
      </c>
      <c r="J63" s="430" t="s">
        <v>814</v>
      </c>
      <c r="K63" s="430" t="s">
        <v>800</v>
      </c>
      <c r="L63" s="721">
        <v>207</v>
      </c>
      <c r="M63" s="721">
        <v>1141</v>
      </c>
      <c r="N63" s="431">
        <v>1430</v>
      </c>
      <c r="O63" s="660">
        <v>1430</v>
      </c>
      <c r="P63" s="796" t="str">
        <f t="shared" si="37"/>
        <v>2. Medium</v>
      </c>
      <c r="Q63" s="797"/>
      <c r="R63" s="432" t="s">
        <v>234</v>
      </c>
      <c r="S63" s="793" t="s">
        <v>299</v>
      </c>
      <c r="T63" s="365" t="str">
        <f t="shared" si="38"/>
        <v>Not covered</v>
      </c>
      <c r="U63" s="437" t="s">
        <v>619</v>
      </c>
      <c r="V63" s="783" t="s">
        <v>254</v>
      </c>
      <c r="W63" s="363" t="str">
        <f t="shared" si="39"/>
        <v>Not documented</v>
      </c>
      <c r="X63" s="441">
        <v>0</v>
      </c>
      <c r="Y63" s="431">
        <v>0</v>
      </c>
      <c r="Z63" s="660" t="s">
        <v>19</v>
      </c>
      <c r="AA63" s="442" t="s">
        <v>19</v>
      </c>
      <c r="AB63" s="449">
        <v>2</v>
      </c>
      <c r="AC63" s="431">
        <v>0</v>
      </c>
      <c r="AD63" s="831">
        <v>36000</v>
      </c>
      <c r="AE63" s="454">
        <v>0</v>
      </c>
      <c r="AF63" s="463">
        <v>0</v>
      </c>
      <c r="AG63" s="455"/>
      <c r="AH63" s="368">
        <f t="shared" si="40"/>
        <v>1</v>
      </c>
      <c r="AI63" s="346">
        <f t="shared" si="41"/>
        <v>1430</v>
      </c>
      <c r="AJ63" s="347">
        <f t="shared" si="42"/>
        <v>1</v>
      </c>
      <c r="AK63" s="348">
        <f t="shared" si="43"/>
        <v>1430</v>
      </c>
      <c r="AL63" s="345">
        <f t="shared" si="44"/>
        <v>1</v>
      </c>
      <c r="AM63" s="348">
        <f t="shared" si="45"/>
        <v>1430</v>
      </c>
      <c r="AN63" s="349" t="str">
        <f t="shared" si="46"/>
        <v>80-100%</v>
      </c>
      <c r="AO63" s="345">
        <f t="shared" si="47"/>
        <v>0</v>
      </c>
      <c r="AP63" s="350">
        <f t="shared" si="48"/>
        <v>0</v>
      </c>
      <c r="AQ63" s="348">
        <f t="shared" si="49"/>
        <v>1.5750000000000002</v>
      </c>
      <c r="AR63" s="348">
        <f t="shared" si="50"/>
        <v>0</v>
      </c>
      <c r="AS63" s="348">
        <f t="shared" si="51"/>
        <v>0</v>
      </c>
      <c r="AT63" s="463">
        <v>1</v>
      </c>
      <c r="AU63" s="459">
        <f t="shared" si="52"/>
        <v>1430</v>
      </c>
      <c r="AV63" s="442"/>
      <c r="AW63" s="813">
        <v>10</v>
      </c>
      <c r="AX63" s="449">
        <v>19</v>
      </c>
      <c r="AY63" s="431"/>
      <c r="AZ63" s="431">
        <v>64</v>
      </c>
      <c r="BA63" s="431" t="s">
        <v>888</v>
      </c>
      <c r="BB63" s="442" t="s">
        <v>89</v>
      </c>
      <c r="BC63" s="810">
        <f t="shared" si="53"/>
        <v>1</v>
      </c>
      <c r="BD63" s="348">
        <f t="shared" si="54"/>
        <v>1430</v>
      </c>
      <c r="BE63" s="351">
        <f t="shared" si="55"/>
        <v>0.1048951048951049</v>
      </c>
      <c r="BF63" s="348">
        <f t="shared" si="56"/>
        <v>150</v>
      </c>
      <c r="BG63" s="351">
        <f t="shared" si="57"/>
        <v>0.8951048951048951</v>
      </c>
      <c r="BH63" s="348">
        <f t="shared" si="58"/>
        <v>1280</v>
      </c>
      <c r="BI63" s="447">
        <v>6</v>
      </c>
      <c r="BJ63" s="463">
        <v>1</v>
      </c>
      <c r="BK63" s="352">
        <f t="shared" si="59"/>
        <v>1430</v>
      </c>
      <c r="BL63" s="353">
        <f t="shared" si="60"/>
        <v>13.5</v>
      </c>
      <c r="BM63" s="431">
        <v>5</v>
      </c>
      <c r="BN63" s="431" t="s">
        <v>290</v>
      </c>
      <c r="BO63" s="351">
        <f t="shared" si="61"/>
        <v>0.34965034965034963</v>
      </c>
      <c r="BP63" s="348">
        <f t="shared" si="62"/>
        <v>500</v>
      </c>
      <c r="BQ63" s="353">
        <f t="shared" si="63"/>
        <v>6.41</v>
      </c>
      <c r="BR63" s="463">
        <v>0.35</v>
      </c>
      <c r="BS63" s="348">
        <f t="shared" si="64"/>
        <v>500.49999999999994</v>
      </c>
      <c r="BT63" s="431">
        <v>32</v>
      </c>
      <c r="BU63" s="351">
        <f t="shared" si="65"/>
        <v>1</v>
      </c>
      <c r="BV63" s="353">
        <f t="shared" si="66"/>
        <v>0</v>
      </c>
      <c r="BW63" s="451">
        <v>1</v>
      </c>
      <c r="BX63" s="473"/>
      <c r="BY63" s="475">
        <v>42055</v>
      </c>
      <c r="BZ63" s="663" t="s">
        <v>824</v>
      </c>
      <c r="CA63" s="666">
        <v>0.78</v>
      </c>
      <c r="CB63" s="354" t="str">
        <f t="shared" si="67"/>
        <v>To be realised</v>
      </c>
      <c r="CC63" s="431">
        <v>298</v>
      </c>
      <c r="CD63" s="431">
        <v>9</v>
      </c>
      <c r="CE63" s="358">
        <f t="shared" si="68"/>
        <v>207</v>
      </c>
      <c r="CF63" s="359">
        <f t="shared" si="69"/>
        <v>0</v>
      </c>
      <c r="CG63" s="352">
        <f t="shared" si="70"/>
        <v>0</v>
      </c>
      <c r="CH63" s="654">
        <f t="shared" si="71"/>
        <v>2</v>
      </c>
      <c r="CI63" s="441"/>
      <c r="CJ63" s="453">
        <v>0</v>
      </c>
      <c r="CK63" s="372">
        <f t="shared" si="72"/>
        <v>0</v>
      </c>
      <c r="CL63" s="449">
        <v>2</v>
      </c>
      <c r="CM63" s="357" t="str">
        <f t="shared" si="73"/>
        <v>Good coverage</v>
      </c>
      <c r="CN63" s="431">
        <v>0</v>
      </c>
      <c r="CO63" s="753" t="s">
        <v>65</v>
      </c>
      <c r="CP63" s="482"/>
    </row>
    <row r="64" spans="2:94" s="36" customFormat="1" ht="30.75" customHeight="1" x14ac:dyDescent="0.2">
      <c r="B64" s="438" t="s">
        <v>181</v>
      </c>
      <c r="C64" s="430" t="s">
        <v>543</v>
      </c>
      <c r="D64" s="430" t="s">
        <v>265</v>
      </c>
      <c r="E64" s="430" t="s">
        <v>312</v>
      </c>
      <c r="F64" s="430">
        <v>97.710989999999995</v>
      </c>
      <c r="G64" s="430">
        <v>24.181640000000002</v>
      </c>
      <c r="H64" s="430" t="s">
        <v>442</v>
      </c>
      <c r="I64" s="430" t="s">
        <v>213</v>
      </c>
      <c r="J64" s="430" t="s">
        <v>814</v>
      </c>
      <c r="K64" s="430" t="s">
        <v>800</v>
      </c>
      <c r="L64" s="721">
        <v>121</v>
      </c>
      <c r="M64" s="721">
        <v>596</v>
      </c>
      <c r="N64" s="431">
        <v>604</v>
      </c>
      <c r="O64" s="660">
        <v>604</v>
      </c>
      <c r="P64" s="796" t="str">
        <f t="shared" si="37"/>
        <v>2. Medium</v>
      </c>
      <c r="Q64" s="797"/>
      <c r="R64" s="432" t="s">
        <v>230</v>
      </c>
      <c r="S64" s="793" t="s">
        <v>299</v>
      </c>
      <c r="T64" s="365" t="str">
        <f t="shared" si="38"/>
        <v>Not covered</v>
      </c>
      <c r="U64" s="437" t="s">
        <v>619</v>
      </c>
      <c r="V64" s="783" t="s">
        <v>254</v>
      </c>
      <c r="W64" s="363" t="str">
        <f t="shared" si="39"/>
        <v>Not documented</v>
      </c>
      <c r="X64" s="441">
        <v>0</v>
      </c>
      <c r="Y64" s="431">
        <v>0</v>
      </c>
      <c r="Z64" s="660" t="s">
        <v>19</v>
      </c>
      <c r="AA64" s="442" t="s">
        <v>19</v>
      </c>
      <c r="AB64" s="449">
        <v>1</v>
      </c>
      <c r="AC64" s="431">
        <v>0</v>
      </c>
      <c r="AD64" s="831">
        <v>13500</v>
      </c>
      <c r="AE64" s="454">
        <v>0</v>
      </c>
      <c r="AF64" s="463">
        <v>0</v>
      </c>
      <c r="AG64" s="455"/>
      <c r="AH64" s="368">
        <f t="shared" si="40"/>
        <v>1</v>
      </c>
      <c r="AI64" s="346">
        <f t="shared" si="41"/>
        <v>604</v>
      </c>
      <c r="AJ64" s="347">
        <f t="shared" si="42"/>
        <v>1</v>
      </c>
      <c r="AK64" s="348">
        <f t="shared" si="43"/>
        <v>604</v>
      </c>
      <c r="AL64" s="345">
        <f t="shared" si="44"/>
        <v>1</v>
      </c>
      <c r="AM64" s="348">
        <f t="shared" si="45"/>
        <v>604</v>
      </c>
      <c r="AN64" s="349" t="str">
        <f t="shared" si="46"/>
        <v>80-100%</v>
      </c>
      <c r="AO64" s="345">
        <f t="shared" si="47"/>
        <v>0</v>
      </c>
      <c r="AP64" s="350">
        <f t="shared" si="48"/>
        <v>0</v>
      </c>
      <c r="AQ64" s="348">
        <f t="shared" si="49"/>
        <v>0.51</v>
      </c>
      <c r="AR64" s="348">
        <f t="shared" si="50"/>
        <v>0</v>
      </c>
      <c r="AS64" s="348">
        <f t="shared" si="51"/>
        <v>0</v>
      </c>
      <c r="AT64" s="463">
        <v>1</v>
      </c>
      <c r="AU64" s="459">
        <f t="shared" si="52"/>
        <v>604</v>
      </c>
      <c r="AV64" s="442" t="s">
        <v>781</v>
      </c>
      <c r="AW64" s="813">
        <v>74</v>
      </c>
      <c r="AX64" s="449">
        <v>9</v>
      </c>
      <c r="AY64" s="431"/>
      <c r="AZ64" s="431">
        <v>32</v>
      </c>
      <c r="BA64" s="431" t="s">
        <v>888</v>
      </c>
      <c r="BB64" s="442" t="s">
        <v>291</v>
      </c>
      <c r="BC64" s="810">
        <f t="shared" si="53"/>
        <v>1</v>
      </c>
      <c r="BD64" s="348">
        <f t="shared" si="54"/>
        <v>604</v>
      </c>
      <c r="BE64" s="351">
        <f t="shared" si="55"/>
        <v>0</v>
      </c>
      <c r="BF64" s="348">
        <f t="shared" si="56"/>
        <v>0</v>
      </c>
      <c r="BG64" s="351">
        <f t="shared" si="57"/>
        <v>1</v>
      </c>
      <c r="BH64" s="348">
        <f t="shared" si="58"/>
        <v>604</v>
      </c>
      <c r="BI64" s="447">
        <v>0</v>
      </c>
      <c r="BJ64" s="463">
        <v>1</v>
      </c>
      <c r="BK64" s="352">
        <f t="shared" si="59"/>
        <v>604</v>
      </c>
      <c r="BL64" s="353">
        <f t="shared" si="60"/>
        <v>0</v>
      </c>
      <c r="BM64" s="431">
        <v>4</v>
      </c>
      <c r="BN64" s="431" t="s">
        <v>290</v>
      </c>
      <c r="BO64" s="351">
        <f t="shared" si="61"/>
        <v>0.66225165562913912</v>
      </c>
      <c r="BP64" s="348">
        <f t="shared" si="62"/>
        <v>400.00000000000006</v>
      </c>
      <c r="BQ64" s="353">
        <f t="shared" si="63"/>
        <v>1.96</v>
      </c>
      <c r="BR64" s="463">
        <v>0.67</v>
      </c>
      <c r="BS64" s="348">
        <f t="shared" si="64"/>
        <v>404.68</v>
      </c>
      <c r="BT64" s="431">
        <v>17</v>
      </c>
      <c r="BU64" s="351">
        <f t="shared" si="65"/>
        <v>1</v>
      </c>
      <c r="BV64" s="353">
        <f t="shared" si="66"/>
        <v>0</v>
      </c>
      <c r="BW64" s="451">
        <v>1</v>
      </c>
      <c r="BX64" s="473" t="s">
        <v>915</v>
      </c>
      <c r="BY64" s="475">
        <v>42055</v>
      </c>
      <c r="BZ64" s="663" t="s">
        <v>819</v>
      </c>
      <c r="CA64" s="666">
        <v>1</v>
      </c>
      <c r="CB64" s="354" t="str">
        <f t="shared" si="67"/>
        <v>To be realised</v>
      </c>
      <c r="CC64" s="431">
        <v>135</v>
      </c>
      <c r="CD64" s="431">
        <v>9</v>
      </c>
      <c r="CE64" s="358">
        <f t="shared" si="68"/>
        <v>121</v>
      </c>
      <c r="CF64" s="359">
        <f t="shared" si="69"/>
        <v>0</v>
      </c>
      <c r="CG64" s="352">
        <f t="shared" si="70"/>
        <v>0</v>
      </c>
      <c r="CH64" s="654">
        <f t="shared" si="71"/>
        <v>2</v>
      </c>
      <c r="CI64" s="441"/>
      <c r="CJ64" s="453">
        <v>0</v>
      </c>
      <c r="CK64" s="372">
        <f t="shared" si="72"/>
        <v>0</v>
      </c>
      <c r="CL64" s="449">
        <v>1</v>
      </c>
      <c r="CM64" s="357" t="str">
        <f t="shared" si="73"/>
        <v>Good coverage</v>
      </c>
      <c r="CN64" s="431">
        <v>0</v>
      </c>
      <c r="CO64" s="753" t="s">
        <v>65</v>
      </c>
      <c r="CP64" s="482"/>
    </row>
    <row r="65" spans="2:94" s="36" customFormat="1" ht="30.75" customHeight="1" x14ac:dyDescent="0.25">
      <c r="B65" s="438" t="s">
        <v>181</v>
      </c>
      <c r="C65" s="430" t="s">
        <v>544</v>
      </c>
      <c r="D65" s="430" t="s">
        <v>266</v>
      </c>
      <c r="E65" s="430" t="s">
        <v>278</v>
      </c>
      <c r="F65" s="430">
        <v>97.587900000000005</v>
      </c>
      <c r="G65" s="430">
        <v>23.83</v>
      </c>
      <c r="H65" s="430" t="s">
        <v>442</v>
      </c>
      <c r="I65" s="430" t="s">
        <v>213</v>
      </c>
      <c r="J65" s="430" t="s">
        <v>813</v>
      </c>
      <c r="K65" s="430" t="s">
        <v>800</v>
      </c>
      <c r="L65" s="722">
        <v>115</v>
      </c>
      <c r="M65" s="722">
        <v>532</v>
      </c>
      <c r="N65" s="817">
        <v>524</v>
      </c>
      <c r="O65" s="818">
        <v>524</v>
      </c>
      <c r="P65" s="796" t="str">
        <f t="shared" si="37"/>
        <v>2. Medium</v>
      </c>
      <c r="Q65" s="797" t="s">
        <v>926</v>
      </c>
      <c r="R65" s="434" t="s">
        <v>234</v>
      </c>
      <c r="S65" s="792" t="s">
        <v>407</v>
      </c>
      <c r="T65" s="365" t="str">
        <f t="shared" si="38"/>
        <v>Covered</v>
      </c>
      <c r="U65" s="782">
        <v>42613</v>
      </c>
      <c r="V65" s="783" t="s">
        <v>252</v>
      </c>
      <c r="W65" s="363" t="str">
        <f t="shared" si="39"/>
        <v>Documented</v>
      </c>
      <c r="X65" s="443">
        <v>0</v>
      </c>
      <c r="Y65" s="433">
        <v>0</v>
      </c>
      <c r="Z65" s="659" t="s">
        <v>19</v>
      </c>
      <c r="AA65" s="444" t="s">
        <v>19</v>
      </c>
      <c r="AB65" s="443">
        <v>0</v>
      </c>
      <c r="AC65" s="433">
        <v>0</v>
      </c>
      <c r="AD65" s="832">
        <v>54000</v>
      </c>
      <c r="AE65" s="452">
        <v>1</v>
      </c>
      <c r="AF65" s="461">
        <v>0</v>
      </c>
      <c r="AG65" s="453"/>
      <c r="AH65" s="368">
        <f t="shared" si="40"/>
        <v>1</v>
      </c>
      <c r="AI65" s="346">
        <f t="shared" si="41"/>
        <v>524</v>
      </c>
      <c r="AJ65" s="347">
        <f t="shared" si="42"/>
        <v>1</v>
      </c>
      <c r="AK65" s="348">
        <f t="shared" si="43"/>
        <v>524</v>
      </c>
      <c r="AL65" s="345">
        <f t="shared" si="44"/>
        <v>1</v>
      </c>
      <c r="AM65" s="348">
        <f t="shared" si="45"/>
        <v>524</v>
      </c>
      <c r="AN65" s="349" t="str">
        <f t="shared" si="46"/>
        <v>80-100%</v>
      </c>
      <c r="AO65" s="345">
        <f t="shared" si="47"/>
        <v>0</v>
      </c>
      <c r="AP65" s="350">
        <f t="shared" si="48"/>
        <v>0</v>
      </c>
      <c r="AQ65" s="348">
        <f t="shared" si="49"/>
        <v>1.31</v>
      </c>
      <c r="AR65" s="348">
        <f t="shared" si="50"/>
        <v>0</v>
      </c>
      <c r="AS65" s="348">
        <f t="shared" si="51"/>
        <v>524</v>
      </c>
      <c r="AT65" s="461">
        <v>1</v>
      </c>
      <c r="AU65" s="459">
        <f t="shared" si="52"/>
        <v>524</v>
      </c>
      <c r="AV65" s="453"/>
      <c r="AW65" s="812">
        <v>113</v>
      </c>
      <c r="AX65" s="443">
        <v>0</v>
      </c>
      <c r="AY65" s="433">
        <v>0</v>
      </c>
      <c r="AZ65" s="433">
        <v>12</v>
      </c>
      <c r="BA65" s="433" t="s">
        <v>891</v>
      </c>
      <c r="BB65" s="444" t="s">
        <v>290</v>
      </c>
      <c r="BC65" s="810">
        <f t="shared" si="53"/>
        <v>0.4580152671755725</v>
      </c>
      <c r="BD65" s="348">
        <f t="shared" si="54"/>
        <v>240</v>
      </c>
      <c r="BE65" s="351">
        <f t="shared" si="55"/>
        <v>0</v>
      </c>
      <c r="BF65" s="348">
        <f t="shared" si="56"/>
        <v>0</v>
      </c>
      <c r="BG65" s="351">
        <f t="shared" si="57"/>
        <v>0.4580152671755725</v>
      </c>
      <c r="BH65" s="348">
        <f t="shared" si="58"/>
        <v>240</v>
      </c>
      <c r="BI65" s="466">
        <v>0</v>
      </c>
      <c r="BJ65" s="461">
        <v>0.6</v>
      </c>
      <c r="BK65" s="352">
        <f t="shared" si="59"/>
        <v>314.39999999999998</v>
      </c>
      <c r="BL65" s="353">
        <f t="shared" si="60"/>
        <v>14.2</v>
      </c>
      <c r="BM65" s="433">
        <v>2</v>
      </c>
      <c r="BN65" s="433" t="s">
        <v>291</v>
      </c>
      <c r="BO65" s="351">
        <f t="shared" si="61"/>
        <v>0.38167938931297712</v>
      </c>
      <c r="BP65" s="348">
        <f t="shared" si="62"/>
        <v>200</v>
      </c>
      <c r="BQ65" s="353">
        <f t="shared" si="63"/>
        <v>3.3200000000000003</v>
      </c>
      <c r="BR65" s="467">
        <v>0.38</v>
      </c>
      <c r="BS65" s="348">
        <f t="shared" si="64"/>
        <v>199.12</v>
      </c>
      <c r="BT65" s="433">
        <v>8</v>
      </c>
      <c r="BU65" s="351">
        <f t="shared" si="65"/>
        <v>1</v>
      </c>
      <c r="BV65" s="353">
        <f t="shared" si="66"/>
        <v>0</v>
      </c>
      <c r="BW65" s="453">
        <v>1</v>
      </c>
      <c r="BX65" s="474" t="s">
        <v>840</v>
      </c>
      <c r="BY65" s="476">
        <v>41983</v>
      </c>
      <c r="BZ65" s="662" t="s">
        <v>819</v>
      </c>
      <c r="CA65" s="665">
        <v>0</v>
      </c>
      <c r="CB65" s="354" t="str">
        <f t="shared" si="67"/>
        <v>To be realised</v>
      </c>
      <c r="CC65" s="466">
        <v>115</v>
      </c>
      <c r="CD65" s="466">
        <v>15</v>
      </c>
      <c r="CE65" s="355">
        <f t="shared" si="68"/>
        <v>115</v>
      </c>
      <c r="CF65" s="356">
        <f t="shared" si="69"/>
        <v>0</v>
      </c>
      <c r="CG65" s="348">
        <f t="shared" si="70"/>
        <v>0</v>
      </c>
      <c r="CH65" s="370">
        <f t="shared" si="71"/>
        <v>0</v>
      </c>
      <c r="CI65" s="478"/>
      <c r="CJ65" s="453">
        <v>1</v>
      </c>
      <c r="CK65" s="372">
        <f t="shared" si="72"/>
        <v>524</v>
      </c>
      <c r="CL65" s="478">
        <v>2</v>
      </c>
      <c r="CM65" s="357" t="str">
        <f t="shared" si="73"/>
        <v>Excellent coverage</v>
      </c>
      <c r="CN65" s="447">
        <v>0</v>
      </c>
      <c r="CO65" s="752" t="s">
        <v>292</v>
      </c>
      <c r="CP65" s="485"/>
    </row>
    <row r="66" spans="2:94" s="36" customFormat="1" ht="30.75" customHeight="1" x14ac:dyDescent="0.2">
      <c r="B66" s="438" t="s">
        <v>181</v>
      </c>
      <c r="C66" s="430" t="s">
        <v>545</v>
      </c>
      <c r="D66" s="430" t="s">
        <v>266</v>
      </c>
      <c r="E66" s="430" t="s">
        <v>279</v>
      </c>
      <c r="F66" s="430">
        <v>97.596000000000004</v>
      </c>
      <c r="G66" s="430">
        <v>23.831</v>
      </c>
      <c r="H66" s="430" t="s">
        <v>442</v>
      </c>
      <c r="I66" s="430" t="s">
        <v>213</v>
      </c>
      <c r="J66" s="430" t="s">
        <v>813</v>
      </c>
      <c r="K66" s="430" t="s">
        <v>800</v>
      </c>
      <c r="L66" s="722">
        <v>486</v>
      </c>
      <c r="M66" s="722">
        <v>2371</v>
      </c>
      <c r="N66" s="639">
        <v>2136</v>
      </c>
      <c r="O66" s="789">
        <v>2136</v>
      </c>
      <c r="P66" s="796" t="str">
        <f t="shared" si="37"/>
        <v>3. Large</v>
      </c>
      <c r="Q66" s="797" t="s">
        <v>926</v>
      </c>
      <c r="R66" s="434" t="s">
        <v>230</v>
      </c>
      <c r="S66" s="792" t="s">
        <v>407</v>
      </c>
      <c r="T66" s="365" t="str">
        <f t="shared" si="38"/>
        <v>Covered</v>
      </c>
      <c r="U66" s="437">
        <v>42613</v>
      </c>
      <c r="V66" s="783" t="s">
        <v>252</v>
      </c>
      <c r="W66" s="363" t="str">
        <f t="shared" si="39"/>
        <v>Documented</v>
      </c>
      <c r="X66" s="443">
        <v>0</v>
      </c>
      <c r="Y66" s="433">
        <v>0</v>
      </c>
      <c r="Z66" s="659" t="s">
        <v>19</v>
      </c>
      <c r="AA66" s="444" t="s">
        <v>19</v>
      </c>
      <c r="AB66" s="443">
        <v>3</v>
      </c>
      <c r="AC66" s="433">
        <v>0</v>
      </c>
      <c r="AD66" s="832">
        <v>165600</v>
      </c>
      <c r="AE66" s="452">
        <v>1</v>
      </c>
      <c r="AF66" s="461">
        <v>0</v>
      </c>
      <c r="AG66" s="453"/>
      <c r="AH66" s="368">
        <f t="shared" si="40"/>
        <v>1</v>
      </c>
      <c r="AI66" s="346">
        <f t="shared" si="41"/>
        <v>2136</v>
      </c>
      <c r="AJ66" s="347">
        <f t="shared" si="42"/>
        <v>1</v>
      </c>
      <c r="AK66" s="348">
        <f t="shared" si="43"/>
        <v>2136</v>
      </c>
      <c r="AL66" s="345">
        <f t="shared" si="44"/>
        <v>1</v>
      </c>
      <c r="AM66" s="348">
        <f t="shared" si="45"/>
        <v>2136</v>
      </c>
      <c r="AN66" s="349" t="str">
        <f t="shared" si="46"/>
        <v>80-100%</v>
      </c>
      <c r="AO66" s="345">
        <f t="shared" si="47"/>
        <v>0</v>
      </c>
      <c r="AP66" s="350">
        <f t="shared" si="48"/>
        <v>0</v>
      </c>
      <c r="AQ66" s="348">
        <f t="shared" si="49"/>
        <v>2.34</v>
      </c>
      <c r="AR66" s="348">
        <f t="shared" si="50"/>
        <v>0</v>
      </c>
      <c r="AS66" s="348">
        <f t="shared" si="51"/>
        <v>2136</v>
      </c>
      <c r="AT66" s="461">
        <v>1</v>
      </c>
      <c r="AU66" s="459">
        <f t="shared" si="52"/>
        <v>2136</v>
      </c>
      <c r="AV66" s="453"/>
      <c r="AW66" s="812">
        <v>0</v>
      </c>
      <c r="AX66" s="443">
        <v>31</v>
      </c>
      <c r="AY66" s="433">
        <v>0</v>
      </c>
      <c r="AZ66" s="433">
        <v>83</v>
      </c>
      <c r="BA66" s="433" t="s">
        <v>889</v>
      </c>
      <c r="BB66" s="444" t="s">
        <v>290</v>
      </c>
      <c r="BC66" s="810">
        <f t="shared" si="53"/>
        <v>1</v>
      </c>
      <c r="BD66" s="348">
        <f t="shared" si="54"/>
        <v>2136</v>
      </c>
      <c r="BE66" s="351">
        <f t="shared" si="55"/>
        <v>0.22284644194756553</v>
      </c>
      <c r="BF66" s="348">
        <f t="shared" si="56"/>
        <v>476</v>
      </c>
      <c r="BG66" s="351">
        <f t="shared" si="57"/>
        <v>0.77715355805243447</v>
      </c>
      <c r="BH66" s="348">
        <f t="shared" si="58"/>
        <v>1660</v>
      </c>
      <c r="BI66" s="466">
        <v>18</v>
      </c>
      <c r="BJ66" s="461">
        <v>1</v>
      </c>
      <c r="BK66" s="352">
        <f t="shared" si="59"/>
        <v>2136</v>
      </c>
      <c r="BL66" s="353">
        <f t="shared" si="60"/>
        <v>41.8</v>
      </c>
      <c r="BM66" s="433">
        <v>6</v>
      </c>
      <c r="BN66" s="433" t="s">
        <v>89</v>
      </c>
      <c r="BO66" s="351">
        <f t="shared" si="61"/>
        <v>0.2808988764044944</v>
      </c>
      <c r="BP66" s="348">
        <f t="shared" si="62"/>
        <v>600</v>
      </c>
      <c r="BQ66" s="353">
        <f t="shared" si="63"/>
        <v>17.71</v>
      </c>
      <c r="BR66" s="467">
        <v>0.28000000000000003</v>
      </c>
      <c r="BS66" s="348">
        <f t="shared" si="64"/>
        <v>598.08000000000004</v>
      </c>
      <c r="BT66" s="433">
        <v>4</v>
      </c>
      <c r="BU66" s="351">
        <f t="shared" si="65"/>
        <v>0.18726591760299627</v>
      </c>
      <c r="BV66" s="353">
        <f t="shared" si="66"/>
        <v>19.71</v>
      </c>
      <c r="BW66" s="453">
        <v>0.19</v>
      </c>
      <c r="BX66" s="474" t="s">
        <v>841</v>
      </c>
      <c r="BY66" s="476">
        <v>41983</v>
      </c>
      <c r="BZ66" s="662" t="s">
        <v>819</v>
      </c>
      <c r="CA66" s="665">
        <v>0</v>
      </c>
      <c r="CB66" s="354" t="str">
        <f t="shared" si="67"/>
        <v>To be realised</v>
      </c>
      <c r="CC66" s="466">
        <v>477</v>
      </c>
      <c r="CD66" s="466">
        <v>12</v>
      </c>
      <c r="CE66" s="355">
        <f t="shared" si="68"/>
        <v>486</v>
      </c>
      <c r="CF66" s="356">
        <f t="shared" si="69"/>
        <v>0</v>
      </c>
      <c r="CG66" s="348">
        <f t="shared" si="70"/>
        <v>0</v>
      </c>
      <c r="CH66" s="370">
        <f t="shared" si="71"/>
        <v>2</v>
      </c>
      <c r="CI66" s="478"/>
      <c r="CJ66" s="453">
        <v>1</v>
      </c>
      <c r="CK66" s="372">
        <f t="shared" si="72"/>
        <v>2136</v>
      </c>
      <c r="CL66" s="478">
        <v>8</v>
      </c>
      <c r="CM66" s="357" t="str">
        <f t="shared" si="73"/>
        <v>Excellent coverage</v>
      </c>
      <c r="CN66" s="447">
        <v>0</v>
      </c>
      <c r="CO66" s="752" t="s">
        <v>65</v>
      </c>
      <c r="CP66" s="484"/>
    </row>
    <row r="67" spans="2:94" s="36" customFormat="1" ht="30.75" customHeight="1" x14ac:dyDescent="0.2">
      <c r="B67" s="438" t="s">
        <v>181</v>
      </c>
      <c r="C67" s="430"/>
      <c r="D67" s="430" t="s">
        <v>266</v>
      </c>
      <c r="E67" s="430" t="s">
        <v>919</v>
      </c>
      <c r="F67" s="430"/>
      <c r="G67" s="430"/>
      <c r="H67" s="430" t="s">
        <v>443</v>
      </c>
      <c r="I67" s="430" t="s">
        <v>213</v>
      </c>
      <c r="J67" s="430" t="s">
        <v>814</v>
      </c>
      <c r="K67" s="430" t="s">
        <v>805</v>
      </c>
      <c r="L67" s="721"/>
      <c r="M67" s="721"/>
      <c r="N67" s="431">
        <v>1443</v>
      </c>
      <c r="O67" s="660">
        <v>1443</v>
      </c>
      <c r="P67" s="796" t="str">
        <f t="shared" si="37"/>
        <v>1. Small</v>
      </c>
      <c r="Q67" s="797" t="s">
        <v>253</v>
      </c>
      <c r="R67" s="432"/>
      <c r="S67" s="793" t="s">
        <v>232</v>
      </c>
      <c r="T67" s="365" t="str">
        <f t="shared" si="38"/>
        <v>Covered</v>
      </c>
      <c r="U67" s="437">
        <v>42521</v>
      </c>
      <c r="V67" s="784" t="s">
        <v>252</v>
      </c>
      <c r="W67" s="363" t="str">
        <f t="shared" si="39"/>
        <v>Documented</v>
      </c>
      <c r="X67" s="441">
        <v>0</v>
      </c>
      <c r="Y67" s="431">
        <v>0</v>
      </c>
      <c r="Z67" s="660" t="s">
        <v>19</v>
      </c>
      <c r="AA67" s="442" t="s">
        <v>19</v>
      </c>
      <c r="AB67" s="441">
        <v>0</v>
      </c>
      <c r="AC67" s="447">
        <v>0</v>
      </c>
      <c r="AD67" s="831">
        <v>0</v>
      </c>
      <c r="AE67" s="454">
        <v>0</v>
      </c>
      <c r="AF67" s="463">
        <v>0</v>
      </c>
      <c r="AG67" s="455"/>
      <c r="AH67" s="368">
        <f t="shared" si="40"/>
        <v>0</v>
      </c>
      <c r="AI67" s="346">
        <f t="shared" si="41"/>
        <v>0</v>
      </c>
      <c r="AJ67" s="347">
        <f t="shared" si="42"/>
        <v>0</v>
      </c>
      <c r="AK67" s="348">
        <f t="shared" si="43"/>
        <v>0</v>
      </c>
      <c r="AL67" s="345">
        <f t="shared" si="44"/>
        <v>0</v>
      </c>
      <c r="AM67" s="348">
        <f t="shared" si="45"/>
        <v>0</v>
      </c>
      <c r="AN67" s="349" t="str">
        <f t="shared" si="46"/>
        <v>0-10%</v>
      </c>
      <c r="AO67" s="345">
        <f t="shared" si="47"/>
        <v>0</v>
      </c>
      <c r="AP67" s="350">
        <f t="shared" si="48"/>
        <v>0</v>
      </c>
      <c r="AQ67" s="348">
        <f t="shared" si="49"/>
        <v>3.6074999999999999</v>
      </c>
      <c r="AR67" s="348">
        <f t="shared" si="50"/>
        <v>0</v>
      </c>
      <c r="AS67" s="348">
        <f t="shared" si="51"/>
        <v>0</v>
      </c>
      <c r="AT67" s="458">
        <v>1</v>
      </c>
      <c r="AU67" s="459">
        <f t="shared" si="52"/>
        <v>1443</v>
      </c>
      <c r="AV67" s="448"/>
      <c r="AW67" s="813">
        <v>0</v>
      </c>
      <c r="AX67" s="449">
        <v>0</v>
      </c>
      <c r="AY67" s="431">
        <v>0</v>
      </c>
      <c r="AZ67" s="431">
        <v>0</v>
      </c>
      <c r="BA67" s="431" t="s">
        <v>888</v>
      </c>
      <c r="BB67" s="442"/>
      <c r="BC67" s="810">
        <f t="shared" si="53"/>
        <v>0</v>
      </c>
      <c r="BD67" s="348">
        <f t="shared" si="54"/>
        <v>0</v>
      </c>
      <c r="BE67" s="351">
        <f t="shared" si="55"/>
        <v>0</v>
      </c>
      <c r="BF67" s="348">
        <f t="shared" si="56"/>
        <v>0</v>
      </c>
      <c r="BG67" s="351">
        <f t="shared" si="57"/>
        <v>0</v>
      </c>
      <c r="BH67" s="348">
        <f t="shared" si="58"/>
        <v>0</v>
      </c>
      <c r="BI67" s="447">
        <v>0</v>
      </c>
      <c r="BJ67" s="463">
        <v>0</v>
      </c>
      <c r="BK67" s="352">
        <f t="shared" si="59"/>
        <v>0</v>
      </c>
      <c r="BL67" s="353">
        <f t="shared" si="60"/>
        <v>72.150000000000006</v>
      </c>
      <c r="BM67" s="431">
        <v>0</v>
      </c>
      <c r="BN67" s="431"/>
      <c r="BO67" s="351">
        <f t="shared" si="61"/>
        <v>0</v>
      </c>
      <c r="BP67" s="348">
        <f t="shared" si="62"/>
        <v>0</v>
      </c>
      <c r="BQ67" s="353">
        <f t="shared" si="63"/>
        <v>0</v>
      </c>
      <c r="BR67" s="458">
        <v>0</v>
      </c>
      <c r="BS67" s="348">
        <f t="shared" si="64"/>
        <v>0</v>
      </c>
      <c r="BT67" s="447">
        <v>0</v>
      </c>
      <c r="BU67" s="351">
        <f t="shared" si="65"/>
        <v>0</v>
      </c>
      <c r="BV67" s="353">
        <f t="shared" si="66"/>
        <v>0</v>
      </c>
      <c r="BW67" s="451">
        <v>1</v>
      </c>
      <c r="BX67" s="473"/>
      <c r="BY67" s="475"/>
      <c r="BZ67" s="663"/>
      <c r="CA67" s="666"/>
      <c r="CB67" s="354" t="str">
        <f t="shared" si="67"/>
        <v>To be realised</v>
      </c>
      <c r="CC67" s="431"/>
      <c r="CD67" s="431"/>
      <c r="CE67" s="355">
        <f t="shared" si="68"/>
        <v>0</v>
      </c>
      <c r="CF67" s="356">
        <f t="shared" si="69"/>
        <v>1</v>
      </c>
      <c r="CG67" s="348">
        <f t="shared" si="70"/>
        <v>1443</v>
      </c>
      <c r="CH67" s="370" t="str">
        <f t="shared" si="71"/>
        <v>Column BN to be completed</v>
      </c>
      <c r="CI67" s="441"/>
      <c r="CJ67" s="451">
        <v>0</v>
      </c>
      <c r="CK67" s="372">
        <f t="shared" si="72"/>
        <v>0</v>
      </c>
      <c r="CL67" s="441"/>
      <c r="CM67" s="357" t="str">
        <f t="shared" si="73"/>
        <v>No coverage</v>
      </c>
      <c r="CN67" s="447">
        <v>0</v>
      </c>
      <c r="CO67" s="753"/>
      <c r="CP67" s="482"/>
    </row>
    <row r="68" spans="2:94" s="36" customFormat="1" ht="30.75" customHeight="1" x14ac:dyDescent="0.2">
      <c r="B68" s="438" t="s">
        <v>181</v>
      </c>
      <c r="C68" s="430" t="s">
        <v>892</v>
      </c>
      <c r="D68" s="430" t="s">
        <v>266</v>
      </c>
      <c r="E68" s="430" t="s">
        <v>893</v>
      </c>
      <c r="F68" s="430">
        <v>97.588291999999996</v>
      </c>
      <c r="G68" s="430">
        <v>23.827870999999998</v>
      </c>
      <c r="H68" s="430" t="s">
        <v>453</v>
      </c>
      <c r="I68" s="430" t="s">
        <v>213</v>
      </c>
      <c r="J68" s="430" t="s">
        <v>813</v>
      </c>
      <c r="K68" s="430" t="s">
        <v>801</v>
      </c>
      <c r="L68" s="721">
        <v>183</v>
      </c>
      <c r="M68" s="721">
        <v>741</v>
      </c>
      <c r="N68" s="431"/>
      <c r="O68" s="660">
        <v>741</v>
      </c>
      <c r="P68" s="796" t="str">
        <f t="shared" si="37"/>
        <v>2. Medium</v>
      </c>
      <c r="Q68" s="797"/>
      <c r="R68" s="432"/>
      <c r="S68" s="793" t="s">
        <v>299</v>
      </c>
      <c r="T68" s="365" t="str">
        <f t="shared" si="38"/>
        <v>Not covered</v>
      </c>
      <c r="U68" s="437" t="s">
        <v>619</v>
      </c>
      <c r="V68" s="783" t="s">
        <v>254</v>
      </c>
      <c r="W68" s="363" t="str">
        <f t="shared" si="39"/>
        <v>Not documented</v>
      </c>
      <c r="X68" s="441">
        <v>0</v>
      </c>
      <c r="Y68" s="431">
        <v>0</v>
      </c>
      <c r="Z68" s="660" t="s">
        <v>19</v>
      </c>
      <c r="AA68" s="442" t="s">
        <v>19</v>
      </c>
      <c r="AB68" s="449">
        <v>0</v>
      </c>
      <c r="AC68" s="431">
        <v>0</v>
      </c>
      <c r="AD68" s="831">
        <v>0</v>
      </c>
      <c r="AE68" s="454">
        <v>0</v>
      </c>
      <c r="AF68" s="463">
        <v>0</v>
      </c>
      <c r="AG68" s="455"/>
      <c r="AH68" s="368">
        <f t="shared" si="40"/>
        <v>0</v>
      </c>
      <c r="AI68" s="346">
        <f t="shared" si="41"/>
        <v>0</v>
      </c>
      <c r="AJ68" s="347">
        <f t="shared" si="42"/>
        <v>0</v>
      </c>
      <c r="AK68" s="348">
        <f t="shared" si="43"/>
        <v>0</v>
      </c>
      <c r="AL68" s="345">
        <f t="shared" si="44"/>
        <v>0</v>
      </c>
      <c r="AM68" s="348">
        <f t="shared" si="45"/>
        <v>0</v>
      </c>
      <c r="AN68" s="349" t="str">
        <f t="shared" si="46"/>
        <v>0-10%</v>
      </c>
      <c r="AO68" s="345">
        <f t="shared" si="47"/>
        <v>0</v>
      </c>
      <c r="AP68" s="350">
        <f t="shared" si="48"/>
        <v>0</v>
      </c>
      <c r="AQ68" s="348">
        <f t="shared" si="49"/>
        <v>1.8525</v>
      </c>
      <c r="AR68" s="348">
        <f t="shared" si="50"/>
        <v>0</v>
      </c>
      <c r="AS68" s="348">
        <f t="shared" si="51"/>
        <v>0</v>
      </c>
      <c r="AT68" s="463">
        <v>0</v>
      </c>
      <c r="AU68" s="459">
        <f t="shared" si="52"/>
        <v>0</v>
      </c>
      <c r="AV68" s="442"/>
      <c r="AW68" s="813">
        <v>49</v>
      </c>
      <c r="AX68" s="449">
        <v>0</v>
      </c>
      <c r="AY68" s="431"/>
      <c r="AZ68" s="431">
        <v>0</v>
      </c>
      <c r="BA68" s="431" t="s">
        <v>888</v>
      </c>
      <c r="BB68" s="442" t="s">
        <v>289</v>
      </c>
      <c r="BC68" s="810">
        <f t="shared" si="53"/>
        <v>0</v>
      </c>
      <c r="BD68" s="348">
        <f t="shared" si="54"/>
        <v>0</v>
      </c>
      <c r="BE68" s="351">
        <f t="shared" si="55"/>
        <v>0</v>
      </c>
      <c r="BF68" s="348">
        <f t="shared" si="56"/>
        <v>0</v>
      </c>
      <c r="BG68" s="351">
        <f t="shared" si="57"/>
        <v>0</v>
      </c>
      <c r="BH68" s="348">
        <f t="shared" si="58"/>
        <v>0</v>
      </c>
      <c r="BI68" s="447">
        <v>0</v>
      </c>
      <c r="BJ68" s="463">
        <v>0</v>
      </c>
      <c r="BK68" s="352">
        <f t="shared" si="59"/>
        <v>0</v>
      </c>
      <c r="BL68" s="353">
        <f t="shared" si="60"/>
        <v>37.049999999999997</v>
      </c>
      <c r="BM68" s="431">
        <v>0</v>
      </c>
      <c r="BN68" s="431" t="s">
        <v>89</v>
      </c>
      <c r="BO68" s="351">
        <f t="shared" si="61"/>
        <v>0</v>
      </c>
      <c r="BP68" s="348">
        <f t="shared" si="62"/>
        <v>0</v>
      </c>
      <c r="BQ68" s="353">
        <f t="shared" si="63"/>
        <v>7.41</v>
      </c>
      <c r="BR68" s="463">
        <v>0</v>
      </c>
      <c r="BS68" s="348">
        <f t="shared" si="64"/>
        <v>0</v>
      </c>
      <c r="BT68" s="431">
        <v>0</v>
      </c>
      <c r="BU68" s="351">
        <f t="shared" si="65"/>
        <v>0</v>
      </c>
      <c r="BV68" s="353">
        <f t="shared" si="66"/>
        <v>7.41</v>
      </c>
      <c r="BW68" s="451">
        <v>0</v>
      </c>
      <c r="BX68" s="473"/>
      <c r="BY68" s="475"/>
      <c r="BZ68" s="663"/>
      <c r="CA68" s="666"/>
      <c r="CB68" s="354" t="str">
        <f t="shared" si="67"/>
        <v>To be realised</v>
      </c>
      <c r="CC68" s="431"/>
      <c r="CD68" s="431"/>
      <c r="CE68" s="358">
        <f t="shared" si="68"/>
        <v>183</v>
      </c>
      <c r="CF68" s="359">
        <f t="shared" si="69"/>
        <v>0</v>
      </c>
      <c r="CG68" s="352">
        <f t="shared" si="70"/>
        <v>0</v>
      </c>
      <c r="CH68" s="654" t="str">
        <f t="shared" si="71"/>
        <v>Column BN to be completed</v>
      </c>
      <c r="CI68" s="441"/>
      <c r="CJ68" s="453">
        <v>0</v>
      </c>
      <c r="CK68" s="372">
        <f t="shared" si="72"/>
        <v>0</v>
      </c>
      <c r="CL68" s="449">
        <v>2</v>
      </c>
      <c r="CM68" s="357" t="str">
        <f t="shared" si="73"/>
        <v>Excellent coverage</v>
      </c>
      <c r="CN68" s="431">
        <v>0</v>
      </c>
      <c r="CO68" s="753" t="s">
        <v>65</v>
      </c>
      <c r="CP68" s="482"/>
    </row>
    <row r="69" spans="2:94" s="36" customFormat="1" ht="30.75" customHeight="1" x14ac:dyDescent="0.2">
      <c r="B69" s="438" t="s">
        <v>181</v>
      </c>
      <c r="C69" s="430" t="s">
        <v>546</v>
      </c>
      <c r="D69" s="430" t="s">
        <v>259</v>
      </c>
      <c r="E69" s="430" t="s">
        <v>280</v>
      </c>
      <c r="F69" s="430">
        <v>97.291820000000001</v>
      </c>
      <c r="G69" s="430">
        <v>24.129059999999999</v>
      </c>
      <c r="H69" s="430" t="s">
        <v>442</v>
      </c>
      <c r="I69" s="430" t="s">
        <v>213</v>
      </c>
      <c r="J69" s="430" t="s">
        <v>812</v>
      </c>
      <c r="K69" s="430" t="s">
        <v>800</v>
      </c>
      <c r="L69" s="721">
        <v>135</v>
      </c>
      <c r="M69" s="721">
        <v>672</v>
      </c>
      <c r="N69" s="431">
        <v>706</v>
      </c>
      <c r="O69" s="660">
        <v>706</v>
      </c>
      <c r="P69" s="796" t="str">
        <f t="shared" ref="P69:P100" si="74">IF(L69&gt;50,IF(L69&gt;250,IF(L69&gt;500,IF(L69&gt;1000,"5. Massive","4. Big"),"3. Large"),"2. Medium"),"1. Small")</f>
        <v>2. Medium</v>
      </c>
      <c r="Q69" s="797" t="s">
        <v>937</v>
      </c>
      <c r="R69" s="432" t="s">
        <v>234</v>
      </c>
      <c r="S69" s="793" t="s">
        <v>232</v>
      </c>
      <c r="T69" s="365" t="str">
        <f t="shared" ref="T69:T100" si="75">IF(S69="None","Not covered","Covered")</f>
        <v>Covered</v>
      </c>
      <c r="U69" s="437">
        <v>42521</v>
      </c>
      <c r="V69" s="784" t="s">
        <v>252</v>
      </c>
      <c r="W69" s="363" t="str">
        <f t="shared" ref="W69:W100" si="76">IF(V69="Not documented","Not documented","Documented")</f>
        <v>Documented</v>
      </c>
      <c r="X69" s="441">
        <v>0</v>
      </c>
      <c r="Y69" s="431">
        <v>0</v>
      </c>
      <c r="Z69" s="660" t="s">
        <v>19</v>
      </c>
      <c r="AA69" s="442" t="s">
        <v>19</v>
      </c>
      <c r="AB69" s="449">
        <v>3</v>
      </c>
      <c r="AC69" s="431">
        <v>0</v>
      </c>
      <c r="AD69" s="831">
        <v>20335</v>
      </c>
      <c r="AE69" s="454">
        <v>0.5</v>
      </c>
      <c r="AF69" s="463">
        <v>0.29487099999999999</v>
      </c>
      <c r="AG69" s="455" t="s">
        <v>830</v>
      </c>
      <c r="AH69" s="368">
        <f t="shared" ref="AH69:AH100" si="77">IF((((X69/15)+((Y69/30)/15)+AB69*400+AC69*500+(AD69/15))/O69)&gt;1,1,(((X69/15)+((Y69/30)/15)+AB69*400+AC69*500+(AD69/15))/O69))</f>
        <v>1</v>
      </c>
      <c r="AI69" s="346">
        <f t="shared" ref="AI69:AI100" si="78">AH69*O69</f>
        <v>706</v>
      </c>
      <c r="AJ69" s="347">
        <f t="shared" ref="AJ69:AJ100" si="79">IF(((AB69*400+AC69*500+(AD69/15))/O69)&gt;1,1,(AB69*400+AC69*500+(AD69/15))/O69)</f>
        <v>1</v>
      </c>
      <c r="AK69" s="348">
        <f t="shared" ref="AK69:AK100" si="80">AJ69*O69</f>
        <v>706</v>
      </c>
      <c r="AL69" s="345">
        <f t="shared" ref="AL69:AL100" si="81">IF(AF69=0,AH69,IF(AF69&lt;AH69,AH69,AF69))</f>
        <v>1</v>
      </c>
      <c r="AM69" s="348">
        <f t="shared" ref="AM69:AM100" si="82">AL69*O69</f>
        <v>706</v>
      </c>
      <c r="AN69" s="349" t="str">
        <f t="shared" ref="AN69:AN100" si="83">IF(AH69&gt;0.15,IF(AH69&gt;0.3,IF(AH69&gt;0.45,IF(AH69&gt;0.6,IF(AH69&gt;0.8,"80-100%","60-80%"),"45-60%"),"30-45%"),"15-30%"),"0-10%")</f>
        <v>80-100%</v>
      </c>
      <c r="AO69" s="345">
        <f t="shared" ref="AO69:AO100" si="84">IF((AH69-AJ69)&lt; 0, 0, AH69-AJ69)</f>
        <v>0</v>
      </c>
      <c r="AP69" s="350">
        <f t="shared" ref="AP69:AP100" si="85">AO69*O69</f>
        <v>0</v>
      </c>
      <c r="AQ69" s="348">
        <f t="shared" ref="AQ69:AQ100" si="86">IF(O69/400-(AB69+AC69)&lt;0,0,O69/400-(AB69+AC69))</f>
        <v>0</v>
      </c>
      <c r="AR69" s="348">
        <f t="shared" ref="AR69:AR100" si="87">AF69*L69</f>
        <v>39.807584999999996</v>
      </c>
      <c r="AS69" s="348">
        <f t="shared" ref="AS69:AS100" si="88">AE69*O69</f>
        <v>353</v>
      </c>
      <c r="AT69" s="463">
        <v>1</v>
      </c>
      <c r="AU69" s="459">
        <f t="shared" ref="AU69:AU100" si="89">AT69*O69</f>
        <v>706</v>
      </c>
      <c r="AV69" s="442"/>
      <c r="AW69" s="813">
        <v>12</v>
      </c>
      <c r="AX69" s="449">
        <v>10</v>
      </c>
      <c r="AY69" s="431"/>
      <c r="AZ69" s="431">
        <v>27</v>
      </c>
      <c r="BA69" s="431" t="s">
        <v>889</v>
      </c>
      <c r="BB69" s="442" t="s">
        <v>89</v>
      </c>
      <c r="BC69" s="810">
        <f t="shared" ref="BC69:BC100" si="90">IF((((AX69+AZ69)*20)/O69)&gt;1,1,(((AX69+AZ69)*20)/O69))</f>
        <v>1</v>
      </c>
      <c r="BD69" s="348">
        <f t="shared" ref="BD69:BD100" si="91">BC69*O69</f>
        <v>706</v>
      </c>
      <c r="BE69" s="351">
        <f t="shared" ref="BE69:BE100" si="92">BC69-BG69</f>
        <v>0.23512747875354112</v>
      </c>
      <c r="BF69" s="348">
        <f t="shared" ref="BF69:BF100" si="93">BE69*O69</f>
        <v>166.00000000000003</v>
      </c>
      <c r="BG69" s="351">
        <f t="shared" ref="BG69:BG100" si="94">IF(((AZ69*20)/O69)&gt;1,1,((AZ69*20)/O69))</f>
        <v>0.76487252124645888</v>
      </c>
      <c r="BH69" s="348">
        <f t="shared" ref="BH69:BH100" si="95">BG69*O69</f>
        <v>540</v>
      </c>
      <c r="BI69" s="447">
        <v>0</v>
      </c>
      <c r="BJ69" s="463">
        <v>1</v>
      </c>
      <c r="BK69" s="352">
        <f t="shared" ref="BK69" si="96">BJ69*O69</f>
        <v>706</v>
      </c>
      <c r="BL69" s="353">
        <f t="shared" si="60"/>
        <v>8.2999999999999972</v>
      </c>
      <c r="BM69" s="431">
        <v>8</v>
      </c>
      <c r="BN69" s="431" t="s">
        <v>291</v>
      </c>
      <c r="BO69" s="351">
        <f t="shared" ref="BO69:BO100" si="97">IF((BM69*100/O69)&gt;1,1,(BM69*100/O69))</f>
        <v>1</v>
      </c>
      <c r="BP69" s="348">
        <f t="shared" ref="BP69:BP100" si="98">BO69*O69</f>
        <v>706</v>
      </c>
      <c r="BQ69" s="353">
        <f t="shared" ref="BQ69:BQ100" si="99">IF(M69/100-BM69&lt;0,0,M69/100-BM69)</f>
        <v>0</v>
      </c>
      <c r="BR69" s="463">
        <v>1</v>
      </c>
      <c r="BS69" s="348">
        <f t="shared" ref="BS69:BS100" si="100">BR69*O69</f>
        <v>706</v>
      </c>
      <c r="BT69" s="431">
        <v>10</v>
      </c>
      <c r="BU69" s="351">
        <f t="shared" ref="BU69:BU100" si="101">IF((BT69*100/O69)&gt;1,1,(BT69*100/O69))</f>
        <v>1</v>
      </c>
      <c r="BV69" s="353">
        <f t="shared" ref="BV69:BV100" si="102">IF(M69/100-BT69&lt;0,0,M69/100-BT69)</f>
        <v>0</v>
      </c>
      <c r="BW69" s="451">
        <v>1</v>
      </c>
      <c r="BX69" s="473"/>
      <c r="BY69" s="475">
        <v>41835</v>
      </c>
      <c r="BZ69" s="663" t="s">
        <v>821</v>
      </c>
      <c r="CA69" s="666">
        <v>0</v>
      </c>
      <c r="CB69" s="354" t="str">
        <f t="shared" ref="CB69:CB100" si="103">IF(BY69="","To be realised",IF(BY69="n/a","n/a",IF(BY69+365&lt;$E$2,"To be realised",BY69+365)))</f>
        <v>To be realised</v>
      </c>
      <c r="CC69" s="431">
        <v>153</v>
      </c>
      <c r="CD69" s="431">
        <v>10</v>
      </c>
      <c r="CE69" s="358">
        <f t="shared" ref="CE69:CE100" si="104">IF(CB69="n/a",0,IF(CB69="To be realised",L69,IF((L69-CC69)&lt;0,0,(L69-CC69))))</f>
        <v>135</v>
      </c>
      <c r="CF69" s="359">
        <f t="shared" ref="CF69:CF100" si="105">IF(CE69=0,1,(L69-CE69)/L69)</f>
        <v>0</v>
      </c>
      <c r="CG69" s="352">
        <f t="shared" ref="CG69:CG100" si="106">CF69*O69</f>
        <v>0</v>
      </c>
      <c r="CH69" s="654">
        <f t="shared" ref="CH69:CH100" si="107">IF(BY69="","Column BN to be completed", IF(BY69="n/a",0,IF(($E$2-BY69-30)/30-CD69&lt;0,0,ROUND((($E$2-BY69-30)/30-CD69),0))))</f>
        <v>9</v>
      </c>
      <c r="CI69" s="441"/>
      <c r="CJ69" s="455">
        <v>0.75</v>
      </c>
      <c r="CK69" s="372">
        <f t="shared" ref="CK69" si="108">CJ69*O69</f>
        <v>529.5</v>
      </c>
      <c r="CL69" s="449">
        <v>2</v>
      </c>
      <c r="CM69" s="357" t="str">
        <f t="shared" ref="CM69:CM100" si="109">IF(CL69=0,"No coverage",IF(O69/CL69&gt;1000,"Low coverage",IF(O69/CL69&gt;750,"Average coverage",IF(O69/CL69&gt;500,"Good coverage","Excellent coverage"))))</f>
        <v>Excellent coverage</v>
      </c>
      <c r="CN69" s="431">
        <v>0</v>
      </c>
      <c r="CO69" s="753" t="s">
        <v>292</v>
      </c>
      <c r="CP69" s="482"/>
    </row>
    <row r="70" spans="2:94" s="36" customFormat="1" ht="30.75" customHeight="1" x14ac:dyDescent="0.2">
      <c r="B70" s="438" t="s">
        <v>181</v>
      </c>
      <c r="C70" s="430" t="s">
        <v>682</v>
      </c>
      <c r="D70" s="430" t="s">
        <v>259</v>
      </c>
      <c r="E70" s="430" t="s">
        <v>719</v>
      </c>
      <c r="F70" s="430">
        <v>97.291820000000001</v>
      </c>
      <c r="G70" s="430">
        <v>24.129059999999999</v>
      </c>
      <c r="H70" s="430" t="s">
        <v>453</v>
      </c>
      <c r="I70" s="430" t="s">
        <v>213</v>
      </c>
      <c r="J70" s="430" t="s">
        <v>814</v>
      </c>
      <c r="K70" s="430" t="s">
        <v>801</v>
      </c>
      <c r="L70" s="721">
        <v>76</v>
      </c>
      <c r="M70" s="721">
        <v>256</v>
      </c>
      <c r="N70" s="431">
        <v>499</v>
      </c>
      <c r="O70" s="660">
        <v>499</v>
      </c>
      <c r="P70" s="796" t="str">
        <f t="shared" si="74"/>
        <v>2. Medium</v>
      </c>
      <c r="Q70" s="797"/>
      <c r="R70" s="432" t="s">
        <v>234</v>
      </c>
      <c r="S70" s="793" t="s">
        <v>299</v>
      </c>
      <c r="T70" s="365" t="str">
        <f t="shared" si="75"/>
        <v>Not covered</v>
      </c>
      <c r="U70" s="437" t="s">
        <v>619</v>
      </c>
      <c r="V70" s="783" t="s">
        <v>254</v>
      </c>
      <c r="W70" s="363" t="str">
        <f t="shared" si="76"/>
        <v>Not documented</v>
      </c>
      <c r="X70" s="441">
        <v>0</v>
      </c>
      <c r="Y70" s="431">
        <v>0</v>
      </c>
      <c r="Z70" s="660" t="s">
        <v>19</v>
      </c>
      <c r="AA70" s="442" t="s">
        <v>19</v>
      </c>
      <c r="AB70" s="449">
        <v>0</v>
      </c>
      <c r="AC70" s="431">
        <v>0</v>
      </c>
      <c r="AD70" s="831">
        <v>0</v>
      </c>
      <c r="AE70" s="454">
        <v>0</v>
      </c>
      <c r="AF70" s="463">
        <v>0</v>
      </c>
      <c r="AG70" s="455"/>
      <c r="AH70" s="368">
        <f t="shared" si="77"/>
        <v>0</v>
      </c>
      <c r="AI70" s="346">
        <f t="shared" si="78"/>
        <v>0</v>
      </c>
      <c r="AJ70" s="347">
        <f t="shared" si="79"/>
        <v>0</v>
      </c>
      <c r="AK70" s="348">
        <f t="shared" si="80"/>
        <v>0</v>
      </c>
      <c r="AL70" s="345">
        <f t="shared" si="81"/>
        <v>0</v>
      </c>
      <c r="AM70" s="348">
        <f t="shared" si="82"/>
        <v>0</v>
      </c>
      <c r="AN70" s="349" t="str">
        <f t="shared" si="83"/>
        <v>0-10%</v>
      </c>
      <c r="AO70" s="345">
        <f t="shared" si="84"/>
        <v>0</v>
      </c>
      <c r="AP70" s="350">
        <f t="shared" si="85"/>
        <v>0</v>
      </c>
      <c r="AQ70" s="348">
        <f t="shared" si="86"/>
        <v>1.2475000000000001</v>
      </c>
      <c r="AR70" s="348">
        <f t="shared" si="87"/>
        <v>0</v>
      </c>
      <c r="AS70" s="348">
        <f t="shared" si="88"/>
        <v>0</v>
      </c>
      <c r="AT70" s="463">
        <v>0</v>
      </c>
      <c r="AU70" s="459">
        <f t="shared" si="89"/>
        <v>0</v>
      </c>
      <c r="AV70" s="442" t="s">
        <v>463</v>
      </c>
      <c r="AW70" s="813">
        <v>9</v>
      </c>
      <c r="AX70" s="449">
        <v>0</v>
      </c>
      <c r="AY70" s="431">
        <v>0</v>
      </c>
      <c r="AZ70" s="431">
        <v>0</v>
      </c>
      <c r="BA70" s="431" t="s">
        <v>889</v>
      </c>
      <c r="BB70" s="442" t="s">
        <v>89</v>
      </c>
      <c r="BC70" s="810">
        <f t="shared" si="90"/>
        <v>0</v>
      </c>
      <c r="BD70" s="348">
        <f t="shared" si="91"/>
        <v>0</v>
      </c>
      <c r="BE70" s="351">
        <f t="shared" si="92"/>
        <v>0</v>
      </c>
      <c r="BF70" s="348">
        <f t="shared" si="93"/>
        <v>0</v>
      </c>
      <c r="BG70" s="351">
        <f t="shared" si="94"/>
        <v>0</v>
      </c>
      <c r="BH70" s="348">
        <f t="shared" si="95"/>
        <v>0</v>
      </c>
      <c r="BI70" s="447">
        <v>0</v>
      </c>
      <c r="BJ70" s="463">
        <v>0</v>
      </c>
      <c r="BK70" s="352"/>
      <c r="BL70" s="353"/>
      <c r="BM70" s="431">
        <v>0</v>
      </c>
      <c r="BN70" s="431" t="s">
        <v>89</v>
      </c>
      <c r="BO70" s="351">
        <f t="shared" si="97"/>
        <v>0</v>
      </c>
      <c r="BP70" s="348">
        <f t="shared" si="98"/>
        <v>0</v>
      </c>
      <c r="BQ70" s="353">
        <f t="shared" si="99"/>
        <v>2.56</v>
      </c>
      <c r="BR70" s="458">
        <v>0</v>
      </c>
      <c r="BS70" s="348">
        <f t="shared" si="100"/>
        <v>0</v>
      </c>
      <c r="BT70" s="431">
        <v>0</v>
      </c>
      <c r="BU70" s="351">
        <f t="shared" si="101"/>
        <v>0</v>
      </c>
      <c r="BV70" s="353">
        <f t="shared" si="102"/>
        <v>2.56</v>
      </c>
      <c r="BW70" s="451">
        <v>0</v>
      </c>
      <c r="BX70" s="473"/>
      <c r="BY70" s="475">
        <v>41744</v>
      </c>
      <c r="BZ70" s="663" t="s">
        <v>825</v>
      </c>
      <c r="CA70" s="666">
        <v>0</v>
      </c>
      <c r="CB70" s="354" t="str">
        <f t="shared" si="103"/>
        <v>To be realised</v>
      </c>
      <c r="CC70" s="431">
        <v>20</v>
      </c>
      <c r="CD70" s="431">
        <v>0</v>
      </c>
      <c r="CE70" s="358">
        <f t="shared" si="104"/>
        <v>76</v>
      </c>
      <c r="CF70" s="359">
        <f t="shared" si="105"/>
        <v>0</v>
      </c>
      <c r="CG70" s="352">
        <f t="shared" si="106"/>
        <v>0</v>
      </c>
      <c r="CH70" s="654">
        <f t="shared" si="107"/>
        <v>22</v>
      </c>
      <c r="CI70" s="441"/>
      <c r="CJ70" s="453">
        <v>0</v>
      </c>
      <c r="CK70" s="372"/>
      <c r="CL70" s="449">
        <v>3</v>
      </c>
      <c r="CM70" s="357" t="str">
        <f t="shared" si="109"/>
        <v>Excellent coverage</v>
      </c>
      <c r="CN70" s="431">
        <v>0</v>
      </c>
      <c r="CO70" s="753" t="s">
        <v>66</v>
      </c>
      <c r="CP70" s="482"/>
    </row>
    <row r="71" spans="2:94" s="36" customFormat="1" ht="30.75" customHeight="1" x14ac:dyDescent="0.2">
      <c r="B71" s="438" t="s">
        <v>181</v>
      </c>
      <c r="C71" s="430" t="s">
        <v>685</v>
      </c>
      <c r="D71" s="430" t="s">
        <v>266</v>
      </c>
      <c r="E71" s="430" t="s">
        <v>614</v>
      </c>
      <c r="F71" s="430">
        <v>97.577347000000003</v>
      </c>
      <c r="G71" s="430">
        <v>23.836462999999998</v>
      </c>
      <c r="H71" s="430" t="s">
        <v>442</v>
      </c>
      <c r="I71" s="430" t="s">
        <v>213</v>
      </c>
      <c r="J71" s="430" t="s">
        <v>813</v>
      </c>
      <c r="K71" s="430" t="s">
        <v>800</v>
      </c>
      <c r="L71" s="721">
        <v>115</v>
      </c>
      <c r="M71" s="721">
        <v>502</v>
      </c>
      <c r="N71" s="431">
        <v>528</v>
      </c>
      <c r="O71" s="660">
        <v>553</v>
      </c>
      <c r="P71" s="796" t="str">
        <f t="shared" si="74"/>
        <v>2. Medium</v>
      </c>
      <c r="Q71" s="797" t="s">
        <v>926</v>
      </c>
      <c r="R71" s="432" t="s">
        <v>230</v>
      </c>
      <c r="S71" s="793" t="s">
        <v>407</v>
      </c>
      <c r="T71" s="365" t="str">
        <f t="shared" si="75"/>
        <v>Covered</v>
      </c>
      <c r="U71" s="437">
        <v>42613</v>
      </c>
      <c r="V71" s="784" t="s">
        <v>252</v>
      </c>
      <c r="W71" s="363" t="str">
        <f t="shared" si="76"/>
        <v>Documented</v>
      </c>
      <c r="X71" s="441">
        <v>0</v>
      </c>
      <c r="Y71" s="431">
        <v>0</v>
      </c>
      <c r="Z71" s="660" t="s">
        <v>19</v>
      </c>
      <c r="AA71" s="442" t="s">
        <v>19</v>
      </c>
      <c r="AB71" s="449">
        <v>0</v>
      </c>
      <c r="AC71" s="431">
        <v>0</v>
      </c>
      <c r="AD71" s="831">
        <v>27000</v>
      </c>
      <c r="AE71" s="454">
        <v>1</v>
      </c>
      <c r="AF71" s="463">
        <v>0</v>
      </c>
      <c r="AG71" s="455"/>
      <c r="AH71" s="368">
        <f t="shared" si="77"/>
        <v>1</v>
      </c>
      <c r="AI71" s="346">
        <f t="shared" si="78"/>
        <v>553</v>
      </c>
      <c r="AJ71" s="347">
        <f t="shared" si="79"/>
        <v>1</v>
      </c>
      <c r="AK71" s="348">
        <f t="shared" si="80"/>
        <v>553</v>
      </c>
      <c r="AL71" s="345">
        <f t="shared" si="81"/>
        <v>1</v>
      </c>
      <c r="AM71" s="348">
        <f t="shared" si="82"/>
        <v>553</v>
      </c>
      <c r="AN71" s="349" t="str">
        <f t="shared" si="83"/>
        <v>80-100%</v>
      </c>
      <c r="AO71" s="345">
        <f t="shared" si="84"/>
        <v>0</v>
      </c>
      <c r="AP71" s="350">
        <f t="shared" si="85"/>
        <v>0</v>
      </c>
      <c r="AQ71" s="348">
        <f t="shared" si="86"/>
        <v>1.3825000000000001</v>
      </c>
      <c r="AR71" s="348">
        <f t="shared" si="87"/>
        <v>0</v>
      </c>
      <c r="AS71" s="348">
        <f t="shared" si="88"/>
        <v>553</v>
      </c>
      <c r="AT71" s="463">
        <v>1</v>
      </c>
      <c r="AU71" s="459">
        <f t="shared" si="89"/>
        <v>553</v>
      </c>
      <c r="AV71" s="442"/>
      <c r="AW71" s="813">
        <v>4</v>
      </c>
      <c r="AX71" s="449">
        <v>16</v>
      </c>
      <c r="AY71" s="431"/>
      <c r="AZ71" s="431"/>
      <c r="BA71" s="431"/>
      <c r="BB71" s="442" t="s">
        <v>290</v>
      </c>
      <c r="BC71" s="810">
        <f t="shared" si="90"/>
        <v>0.57866184448462932</v>
      </c>
      <c r="BD71" s="348">
        <f t="shared" si="91"/>
        <v>320</v>
      </c>
      <c r="BE71" s="351">
        <f t="shared" si="92"/>
        <v>0.57866184448462932</v>
      </c>
      <c r="BF71" s="348">
        <f t="shared" si="93"/>
        <v>320</v>
      </c>
      <c r="BG71" s="351">
        <f t="shared" si="94"/>
        <v>0</v>
      </c>
      <c r="BH71" s="348">
        <f t="shared" si="95"/>
        <v>0</v>
      </c>
      <c r="BI71" s="447">
        <v>0</v>
      </c>
      <c r="BJ71" s="463">
        <v>0.87</v>
      </c>
      <c r="BK71" s="352">
        <f t="shared" ref="BK71:BK102" si="110">BJ71*O71</f>
        <v>481.11</v>
      </c>
      <c r="BL71" s="353">
        <f t="shared" ref="BL71:BL102" si="111">IF((O71/20-AZ71+BI71)&lt;0,0,(O71/20-AZ71+BI71))</f>
        <v>27.65</v>
      </c>
      <c r="BM71" s="431">
        <v>2</v>
      </c>
      <c r="BN71" s="431" t="s">
        <v>290</v>
      </c>
      <c r="BO71" s="351">
        <f t="shared" si="97"/>
        <v>0.36166365280289331</v>
      </c>
      <c r="BP71" s="348">
        <f t="shared" si="98"/>
        <v>200</v>
      </c>
      <c r="BQ71" s="353">
        <f t="shared" si="99"/>
        <v>3.0199999999999996</v>
      </c>
      <c r="BR71" s="458">
        <v>0.36</v>
      </c>
      <c r="BS71" s="348">
        <f t="shared" si="100"/>
        <v>199.07999999999998</v>
      </c>
      <c r="BT71" s="431">
        <v>3</v>
      </c>
      <c r="BU71" s="351">
        <f t="shared" si="101"/>
        <v>0.54249547920433994</v>
      </c>
      <c r="BV71" s="353">
        <f t="shared" si="102"/>
        <v>2.0199999999999996</v>
      </c>
      <c r="BW71" s="451">
        <v>0.54</v>
      </c>
      <c r="BX71" s="473" t="s">
        <v>842</v>
      </c>
      <c r="BY71" s="475">
        <v>42143</v>
      </c>
      <c r="BZ71" s="663" t="s">
        <v>819</v>
      </c>
      <c r="CA71" s="666">
        <v>0</v>
      </c>
      <c r="CB71" s="354">
        <f t="shared" si="103"/>
        <v>42508</v>
      </c>
      <c r="CC71" s="431">
        <v>121</v>
      </c>
      <c r="CD71" s="431">
        <v>12</v>
      </c>
      <c r="CE71" s="358">
        <f t="shared" si="104"/>
        <v>0</v>
      </c>
      <c r="CF71" s="359">
        <f t="shared" si="105"/>
        <v>1</v>
      </c>
      <c r="CG71" s="352">
        <f t="shared" si="106"/>
        <v>553</v>
      </c>
      <c r="CH71" s="654">
        <f t="shared" si="107"/>
        <v>0</v>
      </c>
      <c r="CI71" s="441"/>
      <c r="CJ71" s="455">
        <v>1</v>
      </c>
      <c r="CK71" s="372">
        <f t="shared" ref="CK71:CK102" si="112">CJ71*O71</f>
        <v>553</v>
      </c>
      <c r="CL71" s="449">
        <v>0</v>
      </c>
      <c r="CM71" s="357" t="str">
        <f t="shared" si="109"/>
        <v>No coverage</v>
      </c>
      <c r="CN71" s="431">
        <v>0</v>
      </c>
      <c r="CO71" s="753" t="s">
        <v>292</v>
      </c>
      <c r="CP71" s="482"/>
    </row>
    <row r="72" spans="2:94" s="36" customFormat="1" ht="30.75" customHeight="1" x14ac:dyDescent="0.2">
      <c r="B72" s="438" t="s">
        <v>182</v>
      </c>
      <c r="C72" s="430" t="s">
        <v>629</v>
      </c>
      <c r="D72" s="430" t="s">
        <v>268</v>
      </c>
      <c r="E72" s="430" t="s">
        <v>616</v>
      </c>
      <c r="F72" s="430">
        <v>97.127340000000004</v>
      </c>
      <c r="G72" s="430">
        <v>23.24954</v>
      </c>
      <c r="H72" s="430" t="s">
        <v>442</v>
      </c>
      <c r="I72" s="430" t="s">
        <v>213</v>
      </c>
      <c r="J72" s="430" t="s">
        <v>814</v>
      </c>
      <c r="K72" s="430" t="s">
        <v>800</v>
      </c>
      <c r="L72" s="721">
        <v>37</v>
      </c>
      <c r="M72" s="721">
        <v>164</v>
      </c>
      <c r="N72" s="431">
        <v>139</v>
      </c>
      <c r="O72" s="660">
        <v>139</v>
      </c>
      <c r="P72" s="796" t="str">
        <f t="shared" si="74"/>
        <v>1. Small</v>
      </c>
      <c r="Q72" s="797" t="s">
        <v>923</v>
      </c>
      <c r="R72" s="432" t="s">
        <v>234</v>
      </c>
      <c r="S72" s="793" t="s">
        <v>232</v>
      </c>
      <c r="T72" s="365" t="str">
        <f t="shared" si="75"/>
        <v>Covered</v>
      </c>
      <c r="U72" s="437">
        <v>42521</v>
      </c>
      <c r="V72" s="784" t="s">
        <v>252</v>
      </c>
      <c r="W72" s="363" t="str">
        <f t="shared" si="76"/>
        <v>Documented</v>
      </c>
      <c r="X72" s="441">
        <v>0</v>
      </c>
      <c r="Y72" s="431">
        <v>0</v>
      </c>
      <c r="Z72" s="660" t="s">
        <v>19</v>
      </c>
      <c r="AA72" s="442" t="s">
        <v>19</v>
      </c>
      <c r="AB72" s="441">
        <v>0</v>
      </c>
      <c r="AC72" s="447">
        <v>0</v>
      </c>
      <c r="AD72" s="831">
        <v>7000</v>
      </c>
      <c r="AE72" s="454">
        <v>1</v>
      </c>
      <c r="AF72" s="463">
        <v>0</v>
      </c>
      <c r="AG72" s="455"/>
      <c r="AH72" s="368">
        <f t="shared" si="77"/>
        <v>1</v>
      </c>
      <c r="AI72" s="346">
        <f t="shared" si="78"/>
        <v>139</v>
      </c>
      <c r="AJ72" s="347">
        <f t="shared" si="79"/>
        <v>1</v>
      </c>
      <c r="AK72" s="348">
        <f t="shared" si="80"/>
        <v>139</v>
      </c>
      <c r="AL72" s="345">
        <f t="shared" si="81"/>
        <v>1</v>
      </c>
      <c r="AM72" s="348">
        <f t="shared" si="82"/>
        <v>139</v>
      </c>
      <c r="AN72" s="349" t="str">
        <f t="shared" si="83"/>
        <v>80-100%</v>
      </c>
      <c r="AO72" s="345">
        <f t="shared" si="84"/>
        <v>0</v>
      </c>
      <c r="AP72" s="350">
        <f t="shared" si="85"/>
        <v>0</v>
      </c>
      <c r="AQ72" s="348">
        <f t="shared" si="86"/>
        <v>0.34749999999999998</v>
      </c>
      <c r="AR72" s="348">
        <f t="shared" si="87"/>
        <v>0</v>
      </c>
      <c r="AS72" s="348">
        <f t="shared" si="88"/>
        <v>139</v>
      </c>
      <c r="AT72" s="458">
        <v>1</v>
      </c>
      <c r="AU72" s="459">
        <f t="shared" si="89"/>
        <v>139</v>
      </c>
      <c r="AV72" s="448"/>
      <c r="AW72" s="813">
        <v>11</v>
      </c>
      <c r="AX72" s="449">
        <v>18</v>
      </c>
      <c r="AY72" s="431"/>
      <c r="AZ72" s="431">
        <v>0</v>
      </c>
      <c r="BA72" s="431"/>
      <c r="BB72" s="442" t="s">
        <v>89</v>
      </c>
      <c r="BC72" s="810">
        <f t="shared" si="90"/>
        <v>1</v>
      </c>
      <c r="BD72" s="348">
        <f t="shared" si="91"/>
        <v>139</v>
      </c>
      <c r="BE72" s="351">
        <f t="shared" si="92"/>
        <v>1</v>
      </c>
      <c r="BF72" s="348">
        <f t="shared" si="93"/>
        <v>139</v>
      </c>
      <c r="BG72" s="351">
        <f t="shared" si="94"/>
        <v>0</v>
      </c>
      <c r="BH72" s="348">
        <f t="shared" si="95"/>
        <v>0</v>
      </c>
      <c r="BI72" s="447">
        <v>2</v>
      </c>
      <c r="BJ72" s="463">
        <v>1</v>
      </c>
      <c r="BK72" s="352">
        <f t="shared" si="110"/>
        <v>139</v>
      </c>
      <c r="BL72" s="353">
        <f t="shared" si="111"/>
        <v>8.9499999999999993</v>
      </c>
      <c r="BM72" s="431">
        <v>5</v>
      </c>
      <c r="BN72" s="431" t="s">
        <v>89</v>
      </c>
      <c r="BO72" s="351">
        <f t="shared" si="97"/>
        <v>1</v>
      </c>
      <c r="BP72" s="348">
        <f t="shared" si="98"/>
        <v>139</v>
      </c>
      <c r="BQ72" s="353">
        <f t="shared" si="99"/>
        <v>0</v>
      </c>
      <c r="BR72" s="458">
        <v>1</v>
      </c>
      <c r="BS72" s="348">
        <f t="shared" si="100"/>
        <v>139</v>
      </c>
      <c r="BT72" s="447">
        <v>1</v>
      </c>
      <c r="BU72" s="351">
        <f t="shared" si="101"/>
        <v>0.71942446043165464</v>
      </c>
      <c r="BV72" s="353">
        <f t="shared" si="102"/>
        <v>0.6399999999999999</v>
      </c>
      <c r="BW72" s="451">
        <v>0.8</v>
      </c>
      <c r="BX72" s="473"/>
      <c r="BY72" s="475">
        <v>42125</v>
      </c>
      <c r="BZ72" s="663" t="s">
        <v>821</v>
      </c>
      <c r="CA72" s="666"/>
      <c r="CB72" s="354">
        <f t="shared" si="103"/>
        <v>42490</v>
      </c>
      <c r="CC72" s="431">
        <v>38</v>
      </c>
      <c r="CD72" s="431">
        <v>8</v>
      </c>
      <c r="CE72" s="355">
        <f t="shared" si="104"/>
        <v>0</v>
      </c>
      <c r="CF72" s="356">
        <f t="shared" si="105"/>
        <v>1</v>
      </c>
      <c r="CG72" s="348">
        <f t="shared" si="106"/>
        <v>139</v>
      </c>
      <c r="CH72" s="370">
        <f t="shared" si="107"/>
        <v>1</v>
      </c>
      <c r="CI72" s="441"/>
      <c r="CJ72" s="451">
        <v>0</v>
      </c>
      <c r="CK72" s="372">
        <f t="shared" si="112"/>
        <v>0</v>
      </c>
      <c r="CL72" s="441">
        <v>2</v>
      </c>
      <c r="CM72" s="357" t="str">
        <f t="shared" si="109"/>
        <v>Excellent coverage</v>
      </c>
      <c r="CN72" s="447">
        <v>0</v>
      </c>
      <c r="CO72" s="753" t="s">
        <v>65</v>
      </c>
      <c r="CP72" s="482"/>
    </row>
    <row r="73" spans="2:94" s="36" customFormat="1" ht="30.75" customHeight="1" x14ac:dyDescent="0.2">
      <c r="B73" s="438" t="s">
        <v>182</v>
      </c>
      <c r="C73" s="430" t="s">
        <v>690</v>
      </c>
      <c r="D73" s="430" t="s">
        <v>268</v>
      </c>
      <c r="E73" s="430" t="s">
        <v>617</v>
      </c>
      <c r="F73" s="430">
        <v>97.123440000000002</v>
      </c>
      <c r="G73" s="430">
        <v>23.24568</v>
      </c>
      <c r="H73" s="430" t="s">
        <v>442</v>
      </c>
      <c r="I73" s="430" t="s">
        <v>213</v>
      </c>
      <c r="J73" s="430" t="s">
        <v>814</v>
      </c>
      <c r="K73" s="430" t="s">
        <v>800</v>
      </c>
      <c r="L73" s="721">
        <v>31</v>
      </c>
      <c r="M73" s="721">
        <v>191</v>
      </c>
      <c r="N73" s="431">
        <v>183</v>
      </c>
      <c r="O73" s="660">
        <v>183</v>
      </c>
      <c r="P73" s="796" t="str">
        <f t="shared" si="74"/>
        <v>1. Small</v>
      </c>
      <c r="Q73" s="797" t="s">
        <v>828</v>
      </c>
      <c r="R73" s="432" t="s">
        <v>230</v>
      </c>
      <c r="S73" s="793" t="s">
        <v>299</v>
      </c>
      <c r="T73" s="365" t="str">
        <f t="shared" si="75"/>
        <v>Not covered</v>
      </c>
      <c r="U73" s="437" t="s">
        <v>619</v>
      </c>
      <c r="V73" s="783" t="s">
        <v>254</v>
      </c>
      <c r="W73" s="363" t="str">
        <f t="shared" si="76"/>
        <v>Not documented</v>
      </c>
      <c r="X73" s="441">
        <v>0</v>
      </c>
      <c r="Y73" s="431">
        <v>0</v>
      </c>
      <c r="Z73" s="660" t="s">
        <v>19</v>
      </c>
      <c r="AA73" s="442" t="s">
        <v>19</v>
      </c>
      <c r="AB73" s="441">
        <v>0</v>
      </c>
      <c r="AC73" s="447">
        <v>0</v>
      </c>
      <c r="AD73" s="831">
        <v>28800</v>
      </c>
      <c r="AE73" s="454">
        <v>0.8</v>
      </c>
      <c r="AF73" s="463">
        <v>1</v>
      </c>
      <c r="AG73" s="455"/>
      <c r="AH73" s="368">
        <f t="shared" si="77"/>
        <v>1</v>
      </c>
      <c r="AI73" s="346">
        <f t="shared" si="78"/>
        <v>183</v>
      </c>
      <c r="AJ73" s="347">
        <f t="shared" si="79"/>
        <v>1</v>
      </c>
      <c r="AK73" s="348">
        <f t="shared" si="80"/>
        <v>183</v>
      </c>
      <c r="AL73" s="345">
        <f t="shared" si="81"/>
        <v>1</v>
      </c>
      <c r="AM73" s="348">
        <f t="shared" si="82"/>
        <v>183</v>
      </c>
      <c r="AN73" s="349" t="str">
        <f t="shared" si="83"/>
        <v>80-100%</v>
      </c>
      <c r="AO73" s="345">
        <f t="shared" si="84"/>
        <v>0</v>
      </c>
      <c r="AP73" s="350">
        <f t="shared" si="85"/>
        <v>0</v>
      </c>
      <c r="AQ73" s="348">
        <f t="shared" si="86"/>
        <v>0.45750000000000002</v>
      </c>
      <c r="AR73" s="348">
        <f t="shared" si="87"/>
        <v>31</v>
      </c>
      <c r="AS73" s="348">
        <f t="shared" si="88"/>
        <v>146.4</v>
      </c>
      <c r="AT73" s="458">
        <v>1</v>
      </c>
      <c r="AU73" s="459">
        <f t="shared" si="89"/>
        <v>183</v>
      </c>
      <c r="AV73" s="448"/>
      <c r="AW73" s="813">
        <v>62</v>
      </c>
      <c r="AX73" s="449">
        <v>6</v>
      </c>
      <c r="AY73" s="431"/>
      <c r="AZ73" s="431">
        <v>4</v>
      </c>
      <c r="BA73" s="431"/>
      <c r="BB73" s="442" t="s">
        <v>289</v>
      </c>
      <c r="BC73" s="810">
        <f t="shared" si="90"/>
        <v>1</v>
      </c>
      <c r="BD73" s="348">
        <f t="shared" si="91"/>
        <v>183</v>
      </c>
      <c r="BE73" s="351">
        <f t="shared" si="92"/>
        <v>0.56284153005464477</v>
      </c>
      <c r="BF73" s="348">
        <f t="shared" si="93"/>
        <v>102.99999999999999</v>
      </c>
      <c r="BG73" s="351">
        <f t="shared" si="94"/>
        <v>0.43715846994535518</v>
      </c>
      <c r="BH73" s="348">
        <f t="shared" si="95"/>
        <v>80</v>
      </c>
      <c r="BI73" s="447">
        <v>2</v>
      </c>
      <c r="BJ73" s="463">
        <v>1</v>
      </c>
      <c r="BK73" s="352">
        <f t="shared" si="110"/>
        <v>183</v>
      </c>
      <c r="BL73" s="353">
        <f t="shared" si="111"/>
        <v>7.15</v>
      </c>
      <c r="BM73" s="431">
        <v>2</v>
      </c>
      <c r="BN73" s="431" t="s">
        <v>290</v>
      </c>
      <c r="BO73" s="351">
        <f t="shared" si="97"/>
        <v>1</v>
      </c>
      <c r="BP73" s="348">
        <f t="shared" si="98"/>
        <v>183</v>
      </c>
      <c r="BQ73" s="353">
        <f t="shared" si="99"/>
        <v>0</v>
      </c>
      <c r="BR73" s="458">
        <v>1</v>
      </c>
      <c r="BS73" s="348">
        <f t="shared" si="100"/>
        <v>183</v>
      </c>
      <c r="BT73" s="447">
        <v>0</v>
      </c>
      <c r="BU73" s="351">
        <f t="shared" si="101"/>
        <v>0</v>
      </c>
      <c r="BV73" s="353">
        <f t="shared" si="102"/>
        <v>1.91</v>
      </c>
      <c r="BW73" s="451">
        <v>0</v>
      </c>
      <c r="BX73" s="473" t="s">
        <v>791</v>
      </c>
      <c r="BY73" s="475">
        <v>41183</v>
      </c>
      <c r="BZ73" s="663" t="s">
        <v>823</v>
      </c>
      <c r="CA73" s="666">
        <v>0</v>
      </c>
      <c r="CB73" s="354" t="str">
        <f t="shared" si="103"/>
        <v>To be realised</v>
      </c>
      <c r="CC73" s="431">
        <v>31</v>
      </c>
      <c r="CD73" s="431">
        <v>3</v>
      </c>
      <c r="CE73" s="355">
        <f t="shared" si="104"/>
        <v>31</v>
      </c>
      <c r="CF73" s="356">
        <f t="shared" si="105"/>
        <v>0</v>
      </c>
      <c r="CG73" s="348">
        <f t="shared" si="106"/>
        <v>0</v>
      </c>
      <c r="CH73" s="370">
        <f t="shared" si="107"/>
        <v>38</v>
      </c>
      <c r="CI73" s="441"/>
      <c r="CJ73" s="453">
        <v>0</v>
      </c>
      <c r="CK73" s="372">
        <f t="shared" si="112"/>
        <v>0</v>
      </c>
      <c r="CL73" s="441">
        <v>2</v>
      </c>
      <c r="CM73" s="357" t="str">
        <f t="shared" si="109"/>
        <v>Excellent coverage</v>
      </c>
      <c r="CN73" s="447">
        <v>0</v>
      </c>
      <c r="CO73" s="753" t="s">
        <v>292</v>
      </c>
      <c r="CP73" s="482"/>
    </row>
    <row r="74" spans="2:94" s="36" customFormat="1" ht="30.75" customHeight="1" x14ac:dyDescent="0.2">
      <c r="B74" s="438" t="s">
        <v>220</v>
      </c>
      <c r="C74" s="430" t="s">
        <v>549</v>
      </c>
      <c r="D74" s="430" t="s">
        <v>258</v>
      </c>
      <c r="E74" s="430" t="s">
        <v>126</v>
      </c>
      <c r="F74" s="430">
        <v>96.922619999999995</v>
      </c>
      <c r="G74" s="430">
        <v>25.305669999999999</v>
      </c>
      <c r="H74" s="430" t="s">
        <v>442</v>
      </c>
      <c r="I74" s="430" t="s">
        <v>213</v>
      </c>
      <c r="J74" s="430" t="s">
        <v>812</v>
      </c>
      <c r="K74" s="430" t="s">
        <v>800</v>
      </c>
      <c r="L74" s="721">
        <v>12</v>
      </c>
      <c r="M74" s="721">
        <v>47</v>
      </c>
      <c r="N74" s="431">
        <v>50</v>
      </c>
      <c r="O74" s="660">
        <v>50</v>
      </c>
      <c r="P74" s="796" t="str">
        <f t="shared" si="74"/>
        <v>1. Small</v>
      </c>
      <c r="Q74" s="797" t="s">
        <v>330</v>
      </c>
      <c r="R74" s="432" t="s">
        <v>234</v>
      </c>
      <c r="S74" s="793" t="s">
        <v>299</v>
      </c>
      <c r="T74" s="365" t="str">
        <f t="shared" si="75"/>
        <v>Not covered</v>
      </c>
      <c r="U74" s="437" t="s">
        <v>619</v>
      </c>
      <c r="V74" s="783" t="s">
        <v>254</v>
      </c>
      <c r="W74" s="363" t="str">
        <f t="shared" si="76"/>
        <v>Not documented</v>
      </c>
      <c r="X74" s="441">
        <v>0</v>
      </c>
      <c r="Y74" s="431">
        <v>0</v>
      </c>
      <c r="Z74" s="660" t="s">
        <v>19</v>
      </c>
      <c r="AA74" s="442" t="s">
        <v>19</v>
      </c>
      <c r="AB74" s="441">
        <v>0</v>
      </c>
      <c r="AC74" s="447">
        <v>2</v>
      </c>
      <c r="AD74" s="831">
        <v>3600</v>
      </c>
      <c r="AE74" s="454">
        <v>0</v>
      </c>
      <c r="AF74" s="463">
        <v>1</v>
      </c>
      <c r="AG74" s="455" t="s">
        <v>830</v>
      </c>
      <c r="AH74" s="368">
        <f t="shared" si="77"/>
        <v>1</v>
      </c>
      <c r="AI74" s="346">
        <f t="shared" si="78"/>
        <v>50</v>
      </c>
      <c r="AJ74" s="347">
        <f t="shared" si="79"/>
        <v>1</v>
      </c>
      <c r="AK74" s="348">
        <f t="shared" si="80"/>
        <v>50</v>
      </c>
      <c r="AL74" s="345">
        <f t="shared" si="81"/>
        <v>1</v>
      </c>
      <c r="AM74" s="348">
        <f t="shared" si="82"/>
        <v>50</v>
      </c>
      <c r="AN74" s="349" t="str">
        <f t="shared" si="83"/>
        <v>80-100%</v>
      </c>
      <c r="AO74" s="345">
        <f t="shared" si="84"/>
        <v>0</v>
      </c>
      <c r="AP74" s="350">
        <f t="shared" si="85"/>
        <v>0</v>
      </c>
      <c r="AQ74" s="348">
        <f t="shared" si="86"/>
        <v>0</v>
      </c>
      <c r="AR74" s="348">
        <f t="shared" si="87"/>
        <v>12</v>
      </c>
      <c r="AS74" s="348">
        <f t="shared" si="88"/>
        <v>0</v>
      </c>
      <c r="AT74" s="458">
        <v>1</v>
      </c>
      <c r="AU74" s="459">
        <f t="shared" si="89"/>
        <v>50</v>
      </c>
      <c r="AV74" s="448"/>
      <c r="AW74" s="813">
        <v>70</v>
      </c>
      <c r="AX74" s="449">
        <v>2</v>
      </c>
      <c r="AY74" s="431"/>
      <c r="AZ74" s="431">
        <v>0</v>
      </c>
      <c r="BA74" s="431"/>
      <c r="BB74" s="442" t="s">
        <v>290</v>
      </c>
      <c r="BC74" s="810">
        <f t="shared" si="90"/>
        <v>0.8</v>
      </c>
      <c r="BD74" s="348">
        <f t="shared" si="91"/>
        <v>40</v>
      </c>
      <c r="BE74" s="351">
        <f t="shared" si="92"/>
        <v>0.8</v>
      </c>
      <c r="BF74" s="348">
        <f t="shared" si="93"/>
        <v>40</v>
      </c>
      <c r="BG74" s="351">
        <f t="shared" si="94"/>
        <v>0</v>
      </c>
      <c r="BH74" s="348">
        <f t="shared" si="95"/>
        <v>0</v>
      </c>
      <c r="BI74" s="447">
        <v>0</v>
      </c>
      <c r="BJ74" s="463">
        <v>0.8</v>
      </c>
      <c r="BK74" s="352">
        <f t="shared" si="110"/>
        <v>40</v>
      </c>
      <c r="BL74" s="353">
        <f t="shared" si="111"/>
        <v>2.5</v>
      </c>
      <c r="BM74" s="431">
        <v>2</v>
      </c>
      <c r="BN74" s="431" t="s">
        <v>290</v>
      </c>
      <c r="BO74" s="351">
        <f t="shared" si="97"/>
        <v>1</v>
      </c>
      <c r="BP74" s="348">
        <f t="shared" si="98"/>
        <v>50</v>
      </c>
      <c r="BQ74" s="353">
        <f t="shared" si="99"/>
        <v>0</v>
      </c>
      <c r="BR74" s="458">
        <v>1</v>
      </c>
      <c r="BS74" s="348">
        <f t="shared" si="100"/>
        <v>50</v>
      </c>
      <c r="BT74" s="447">
        <v>2</v>
      </c>
      <c r="BU74" s="351">
        <f t="shared" si="101"/>
        <v>1</v>
      </c>
      <c r="BV74" s="353">
        <f t="shared" si="102"/>
        <v>0</v>
      </c>
      <c r="BW74" s="451">
        <v>1</v>
      </c>
      <c r="BX74" s="473" t="s">
        <v>843</v>
      </c>
      <c r="BY74" s="475">
        <v>42173</v>
      </c>
      <c r="BZ74" s="663" t="s">
        <v>821</v>
      </c>
      <c r="CA74" s="666"/>
      <c r="CB74" s="354">
        <f t="shared" si="103"/>
        <v>42538</v>
      </c>
      <c r="CC74" s="431">
        <v>17</v>
      </c>
      <c r="CD74" s="431">
        <v>0</v>
      </c>
      <c r="CE74" s="355">
        <f t="shared" si="104"/>
        <v>0</v>
      </c>
      <c r="CF74" s="356">
        <f t="shared" si="105"/>
        <v>1</v>
      </c>
      <c r="CG74" s="348">
        <f t="shared" si="106"/>
        <v>50</v>
      </c>
      <c r="CH74" s="370">
        <f t="shared" si="107"/>
        <v>8</v>
      </c>
      <c r="CI74" s="441"/>
      <c r="CJ74" s="453">
        <v>0</v>
      </c>
      <c r="CK74" s="372">
        <f t="shared" si="112"/>
        <v>0</v>
      </c>
      <c r="CL74" s="441">
        <v>0</v>
      </c>
      <c r="CM74" s="357" t="str">
        <f t="shared" si="109"/>
        <v>No coverage</v>
      </c>
      <c r="CN74" s="447">
        <v>0</v>
      </c>
      <c r="CO74" s="753" t="s">
        <v>292</v>
      </c>
      <c r="CP74" s="482" t="s">
        <v>795</v>
      </c>
    </row>
    <row r="75" spans="2:94" s="36" customFormat="1" ht="30.75" customHeight="1" x14ac:dyDescent="0.2">
      <c r="B75" s="438" t="s">
        <v>220</v>
      </c>
      <c r="C75" s="430" t="s">
        <v>768</v>
      </c>
      <c r="D75" s="430" t="s">
        <v>258</v>
      </c>
      <c r="E75" s="430" t="s">
        <v>769</v>
      </c>
      <c r="F75" s="430">
        <v>96.94135</v>
      </c>
      <c r="G75" s="430">
        <v>25.294460000000001</v>
      </c>
      <c r="H75" s="430" t="s">
        <v>442</v>
      </c>
      <c r="I75" s="430" t="s">
        <v>213</v>
      </c>
      <c r="J75" s="430" t="s">
        <v>813</v>
      </c>
      <c r="K75" s="430" t="s">
        <v>800</v>
      </c>
      <c r="L75" s="721">
        <v>9</v>
      </c>
      <c r="M75" s="721">
        <v>39</v>
      </c>
      <c r="N75" s="431">
        <v>23</v>
      </c>
      <c r="O75" s="660">
        <v>23</v>
      </c>
      <c r="P75" s="796" t="str">
        <f t="shared" si="74"/>
        <v>1. Small</v>
      </c>
      <c r="Q75" s="797"/>
      <c r="R75" s="432" t="s">
        <v>230</v>
      </c>
      <c r="S75" s="793" t="s">
        <v>299</v>
      </c>
      <c r="T75" s="365" t="str">
        <f t="shared" si="75"/>
        <v>Not covered</v>
      </c>
      <c r="U75" s="437" t="s">
        <v>619</v>
      </c>
      <c r="V75" s="783" t="s">
        <v>254</v>
      </c>
      <c r="W75" s="363" t="str">
        <f t="shared" si="76"/>
        <v>Not documented</v>
      </c>
      <c r="X75" s="441">
        <v>0</v>
      </c>
      <c r="Y75" s="431">
        <v>0</v>
      </c>
      <c r="Z75" s="660" t="s">
        <v>19</v>
      </c>
      <c r="AA75" s="442" t="s">
        <v>19</v>
      </c>
      <c r="AB75" s="441">
        <v>0</v>
      </c>
      <c r="AC75" s="447">
        <v>1</v>
      </c>
      <c r="AD75" s="831">
        <v>0</v>
      </c>
      <c r="AE75" s="454">
        <v>0</v>
      </c>
      <c r="AF75" s="463">
        <v>0</v>
      </c>
      <c r="AG75" s="455"/>
      <c r="AH75" s="368">
        <f t="shared" si="77"/>
        <v>1</v>
      </c>
      <c r="AI75" s="346">
        <f t="shared" si="78"/>
        <v>23</v>
      </c>
      <c r="AJ75" s="347">
        <f t="shared" si="79"/>
        <v>1</v>
      </c>
      <c r="AK75" s="348">
        <f t="shared" si="80"/>
        <v>23</v>
      </c>
      <c r="AL75" s="345">
        <f t="shared" si="81"/>
        <v>1</v>
      </c>
      <c r="AM75" s="348">
        <f t="shared" si="82"/>
        <v>23</v>
      </c>
      <c r="AN75" s="349" t="str">
        <f t="shared" si="83"/>
        <v>80-100%</v>
      </c>
      <c r="AO75" s="345">
        <f t="shared" si="84"/>
        <v>0</v>
      </c>
      <c r="AP75" s="350">
        <f t="shared" si="85"/>
        <v>0</v>
      </c>
      <c r="AQ75" s="348">
        <f t="shared" si="86"/>
        <v>0</v>
      </c>
      <c r="AR75" s="348">
        <f t="shared" si="87"/>
        <v>0</v>
      </c>
      <c r="AS75" s="348">
        <f t="shared" si="88"/>
        <v>0</v>
      </c>
      <c r="AT75" s="458">
        <v>1</v>
      </c>
      <c r="AU75" s="459">
        <f t="shared" si="89"/>
        <v>23</v>
      </c>
      <c r="AV75" s="448"/>
      <c r="AW75" s="813">
        <v>0</v>
      </c>
      <c r="AX75" s="449">
        <v>0</v>
      </c>
      <c r="AY75" s="431"/>
      <c r="AZ75" s="431">
        <v>4</v>
      </c>
      <c r="BA75" s="431"/>
      <c r="BB75" s="442" t="s">
        <v>289</v>
      </c>
      <c r="BC75" s="810">
        <f t="shared" si="90"/>
        <v>1</v>
      </c>
      <c r="BD75" s="348">
        <f t="shared" si="91"/>
        <v>23</v>
      </c>
      <c r="BE75" s="351">
        <f t="shared" si="92"/>
        <v>0</v>
      </c>
      <c r="BF75" s="348">
        <f t="shared" si="93"/>
        <v>0</v>
      </c>
      <c r="BG75" s="351">
        <f t="shared" si="94"/>
        <v>1</v>
      </c>
      <c r="BH75" s="348">
        <f t="shared" si="95"/>
        <v>23</v>
      </c>
      <c r="BI75" s="447">
        <v>0</v>
      </c>
      <c r="BJ75" s="463">
        <v>1</v>
      </c>
      <c r="BK75" s="352">
        <f t="shared" si="110"/>
        <v>23</v>
      </c>
      <c r="BL75" s="353">
        <f t="shared" si="111"/>
        <v>0</v>
      </c>
      <c r="BM75" s="431">
        <v>0</v>
      </c>
      <c r="BN75" s="431" t="s">
        <v>89</v>
      </c>
      <c r="BO75" s="351">
        <f t="shared" si="97"/>
        <v>0</v>
      </c>
      <c r="BP75" s="348">
        <f t="shared" si="98"/>
        <v>0</v>
      </c>
      <c r="BQ75" s="353">
        <f t="shared" si="99"/>
        <v>0.39</v>
      </c>
      <c r="BR75" s="458">
        <v>0</v>
      </c>
      <c r="BS75" s="348">
        <f t="shared" si="100"/>
        <v>0</v>
      </c>
      <c r="BT75" s="447">
        <v>0</v>
      </c>
      <c r="BU75" s="351">
        <f t="shared" si="101"/>
        <v>0</v>
      </c>
      <c r="BV75" s="353">
        <f t="shared" si="102"/>
        <v>0.39</v>
      </c>
      <c r="BW75" s="451">
        <v>0</v>
      </c>
      <c r="BX75" s="473" t="s">
        <v>776</v>
      </c>
      <c r="BY75" s="475"/>
      <c r="BZ75" s="663" t="s">
        <v>823</v>
      </c>
      <c r="CA75" s="666">
        <v>0</v>
      </c>
      <c r="CB75" s="354" t="str">
        <f t="shared" si="103"/>
        <v>To be realised</v>
      </c>
      <c r="CC75" s="431">
        <v>0</v>
      </c>
      <c r="CD75" s="431">
        <v>0</v>
      </c>
      <c r="CE75" s="355">
        <f t="shared" si="104"/>
        <v>9</v>
      </c>
      <c r="CF75" s="356">
        <f t="shared" si="105"/>
        <v>0</v>
      </c>
      <c r="CG75" s="348">
        <f t="shared" si="106"/>
        <v>0</v>
      </c>
      <c r="CH75" s="370" t="str">
        <f t="shared" si="107"/>
        <v>Column BN to be completed</v>
      </c>
      <c r="CI75" s="441"/>
      <c r="CJ75" s="453">
        <v>0</v>
      </c>
      <c r="CK75" s="372">
        <f t="shared" si="112"/>
        <v>0</v>
      </c>
      <c r="CL75" s="441">
        <v>2</v>
      </c>
      <c r="CM75" s="357" t="str">
        <f t="shared" si="109"/>
        <v>Excellent coverage</v>
      </c>
      <c r="CN75" s="447">
        <v>0</v>
      </c>
      <c r="CO75" s="753" t="s">
        <v>292</v>
      </c>
      <c r="CP75" s="482"/>
    </row>
    <row r="76" spans="2:94" s="36" customFormat="1" ht="30.75" customHeight="1" x14ac:dyDescent="0.2">
      <c r="B76" s="438" t="s">
        <v>220</v>
      </c>
      <c r="C76" s="430" t="s">
        <v>547</v>
      </c>
      <c r="D76" s="430" t="s">
        <v>258</v>
      </c>
      <c r="E76" s="430" t="s">
        <v>127</v>
      </c>
      <c r="F76" s="430">
        <v>96.942279999999997</v>
      </c>
      <c r="G76" s="430">
        <v>25.296579999999999</v>
      </c>
      <c r="H76" s="430" t="s">
        <v>442</v>
      </c>
      <c r="I76" s="430" t="s">
        <v>213</v>
      </c>
      <c r="J76" s="430" t="s">
        <v>813</v>
      </c>
      <c r="K76" s="430" t="s">
        <v>800</v>
      </c>
      <c r="L76" s="721">
        <v>18</v>
      </c>
      <c r="M76" s="721">
        <v>78</v>
      </c>
      <c r="N76" s="431">
        <v>56</v>
      </c>
      <c r="O76" s="660">
        <v>56</v>
      </c>
      <c r="P76" s="796" t="str">
        <f t="shared" si="74"/>
        <v>1. Small</v>
      </c>
      <c r="Q76" s="797" t="s">
        <v>330</v>
      </c>
      <c r="R76" s="432" t="s">
        <v>234</v>
      </c>
      <c r="S76" s="793" t="s">
        <v>299</v>
      </c>
      <c r="T76" s="365" t="str">
        <f t="shared" si="75"/>
        <v>Not covered</v>
      </c>
      <c r="U76" s="437" t="s">
        <v>619</v>
      </c>
      <c r="V76" s="783" t="s">
        <v>254</v>
      </c>
      <c r="W76" s="363" t="str">
        <f t="shared" si="76"/>
        <v>Not documented</v>
      </c>
      <c r="X76" s="441">
        <v>0</v>
      </c>
      <c r="Y76" s="431">
        <v>0</v>
      </c>
      <c r="Z76" s="660" t="s">
        <v>19</v>
      </c>
      <c r="AA76" s="442" t="s">
        <v>19</v>
      </c>
      <c r="AB76" s="441">
        <v>0</v>
      </c>
      <c r="AC76" s="447">
        <v>2</v>
      </c>
      <c r="AD76" s="831">
        <v>3600</v>
      </c>
      <c r="AE76" s="454">
        <v>0</v>
      </c>
      <c r="AF76" s="463">
        <v>1</v>
      </c>
      <c r="AG76" s="455" t="s">
        <v>830</v>
      </c>
      <c r="AH76" s="368">
        <f t="shared" si="77"/>
        <v>1</v>
      </c>
      <c r="AI76" s="346">
        <f t="shared" si="78"/>
        <v>56</v>
      </c>
      <c r="AJ76" s="347">
        <f t="shared" si="79"/>
        <v>1</v>
      </c>
      <c r="AK76" s="348">
        <f t="shared" si="80"/>
        <v>56</v>
      </c>
      <c r="AL76" s="345">
        <f t="shared" si="81"/>
        <v>1</v>
      </c>
      <c r="AM76" s="348">
        <f t="shared" si="82"/>
        <v>56</v>
      </c>
      <c r="AN76" s="349" t="str">
        <f t="shared" si="83"/>
        <v>80-100%</v>
      </c>
      <c r="AO76" s="345">
        <f t="shared" si="84"/>
        <v>0</v>
      </c>
      <c r="AP76" s="350">
        <f t="shared" si="85"/>
        <v>0</v>
      </c>
      <c r="AQ76" s="348">
        <f t="shared" si="86"/>
        <v>0</v>
      </c>
      <c r="AR76" s="348">
        <f t="shared" si="87"/>
        <v>18</v>
      </c>
      <c r="AS76" s="348">
        <f t="shared" si="88"/>
        <v>0</v>
      </c>
      <c r="AT76" s="458">
        <v>1</v>
      </c>
      <c r="AU76" s="459">
        <f t="shared" si="89"/>
        <v>56</v>
      </c>
      <c r="AV76" s="448"/>
      <c r="AW76" s="813">
        <v>0</v>
      </c>
      <c r="AX76" s="449">
        <v>0</v>
      </c>
      <c r="AY76" s="431"/>
      <c r="AZ76" s="431">
        <v>3</v>
      </c>
      <c r="BA76" s="431"/>
      <c r="BB76" s="442" t="s">
        <v>289</v>
      </c>
      <c r="BC76" s="810">
        <f t="shared" si="90"/>
        <v>1</v>
      </c>
      <c r="BD76" s="348">
        <f t="shared" si="91"/>
        <v>56</v>
      </c>
      <c r="BE76" s="351">
        <f t="shared" si="92"/>
        <v>0</v>
      </c>
      <c r="BF76" s="348">
        <f t="shared" si="93"/>
        <v>0</v>
      </c>
      <c r="BG76" s="351">
        <f t="shared" si="94"/>
        <v>1</v>
      </c>
      <c r="BH76" s="348">
        <f t="shared" si="95"/>
        <v>56</v>
      </c>
      <c r="BI76" s="447">
        <v>0</v>
      </c>
      <c r="BJ76" s="463">
        <v>1</v>
      </c>
      <c r="BK76" s="352">
        <f t="shared" si="110"/>
        <v>56</v>
      </c>
      <c r="BL76" s="353">
        <f t="shared" si="111"/>
        <v>0</v>
      </c>
      <c r="BM76" s="431">
        <v>2</v>
      </c>
      <c r="BN76" s="431" t="s">
        <v>89</v>
      </c>
      <c r="BO76" s="351">
        <f t="shared" si="97"/>
        <v>1</v>
      </c>
      <c r="BP76" s="348">
        <f t="shared" si="98"/>
        <v>56</v>
      </c>
      <c r="BQ76" s="353">
        <f t="shared" si="99"/>
        <v>0</v>
      </c>
      <c r="BR76" s="458">
        <v>1</v>
      </c>
      <c r="BS76" s="348">
        <f t="shared" si="100"/>
        <v>56</v>
      </c>
      <c r="BT76" s="447">
        <v>0</v>
      </c>
      <c r="BU76" s="351">
        <f t="shared" si="101"/>
        <v>0</v>
      </c>
      <c r="BV76" s="353">
        <f t="shared" si="102"/>
        <v>0.78</v>
      </c>
      <c r="BW76" s="451">
        <v>0</v>
      </c>
      <c r="BX76" s="473" t="s">
        <v>844</v>
      </c>
      <c r="BY76" s="475">
        <v>42173</v>
      </c>
      <c r="BZ76" s="663" t="s">
        <v>821</v>
      </c>
      <c r="CA76" s="666"/>
      <c r="CB76" s="354">
        <f t="shared" si="103"/>
        <v>42538</v>
      </c>
      <c r="CC76" s="431">
        <v>12</v>
      </c>
      <c r="CD76" s="431">
        <v>0</v>
      </c>
      <c r="CE76" s="355">
        <f t="shared" si="104"/>
        <v>6</v>
      </c>
      <c r="CF76" s="356">
        <f t="shared" si="105"/>
        <v>0.66666666666666663</v>
      </c>
      <c r="CG76" s="348">
        <f t="shared" si="106"/>
        <v>37.333333333333329</v>
      </c>
      <c r="CH76" s="370">
        <f t="shared" si="107"/>
        <v>8</v>
      </c>
      <c r="CI76" s="441"/>
      <c r="CJ76" s="453">
        <v>0</v>
      </c>
      <c r="CK76" s="372">
        <f t="shared" si="112"/>
        <v>0</v>
      </c>
      <c r="CL76" s="441">
        <v>2</v>
      </c>
      <c r="CM76" s="357" t="str">
        <f t="shared" si="109"/>
        <v>Excellent coverage</v>
      </c>
      <c r="CN76" s="447">
        <v>0</v>
      </c>
      <c r="CO76" s="753" t="s">
        <v>292</v>
      </c>
      <c r="CP76" s="482"/>
    </row>
    <row r="77" spans="2:94" s="36" customFormat="1" ht="30.75" customHeight="1" x14ac:dyDescent="0.2">
      <c r="B77" s="438" t="s">
        <v>220</v>
      </c>
      <c r="C77" s="430" t="s">
        <v>548</v>
      </c>
      <c r="D77" s="430" t="s">
        <v>258</v>
      </c>
      <c r="E77" s="430" t="s">
        <v>128</v>
      </c>
      <c r="F77" s="430">
        <v>96.948740000000001</v>
      </c>
      <c r="G77" s="430">
        <v>25.30442</v>
      </c>
      <c r="H77" s="430" t="s">
        <v>442</v>
      </c>
      <c r="I77" s="430" t="s">
        <v>213</v>
      </c>
      <c r="J77" s="430" t="s">
        <v>812</v>
      </c>
      <c r="K77" s="430" t="s">
        <v>800</v>
      </c>
      <c r="L77" s="721">
        <v>14</v>
      </c>
      <c r="M77" s="721">
        <v>44</v>
      </c>
      <c r="N77" s="819">
        <v>36</v>
      </c>
      <c r="O77" s="820">
        <v>36</v>
      </c>
      <c r="P77" s="796" t="str">
        <f t="shared" si="74"/>
        <v>1. Small</v>
      </c>
      <c r="Q77" s="797" t="s">
        <v>330</v>
      </c>
      <c r="R77" s="432" t="s">
        <v>234</v>
      </c>
      <c r="S77" s="793" t="s">
        <v>299</v>
      </c>
      <c r="T77" s="365" t="str">
        <f t="shared" si="75"/>
        <v>Not covered</v>
      </c>
      <c r="U77" s="437" t="s">
        <v>619</v>
      </c>
      <c r="V77" s="783" t="s">
        <v>254</v>
      </c>
      <c r="W77" s="363" t="str">
        <f t="shared" si="76"/>
        <v>Not documented</v>
      </c>
      <c r="X77" s="441">
        <v>0</v>
      </c>
      <c r="Y77" s="431">
        <v>0</v>
      </c>
      <c r="Z77" s="660" t="s">
        <v>19</v>
      </c>
      <c r="AA77" s="442" t="s">
        <v>19</v>
      </c>
      <c r="AB77" s="441">
        <v>1</v>
      </c>
      <c r="AC77" s="447">
        <v>2</v>
      </c>
      <c r="AD77" s="831">
        <v>3600</v>
      </c>
      <c r="AE77" s="454">
        <v>0</v>
      </c>
      <c r="AF77" s="463">
        <v>1</v>
      </c>
      <c r="AG77" s="455" t="s">
        <v>830</v>
      </c>
      <c r="AH77" s="368">
        <f t="shared" si="77"/>
        <v>1</v>
      </c>
      <c r="AI77" s="346">
        <f t="shared" si="78"/>
        <v>36</v>
      </c>
      <c r="AJ77" s="347">
        <f t="shared" si="79"/>
        <v>1</v>
      </c>
      <c r="AK77" s="348">
        <f t="shared" si="80"/>
        <v>36</v>
      </c>
      <c r="AL77" s="345">
        <f t="shared" si="81"/>
        <v>1</v>
      </c>
      <c r="AM77" s="348">
        <f t="shared" si="82"/>
        <v>36</v>
      </c>
      <c r="AN77" s="349" t="str">
        <f t="shared" si="83"/>
        <v>80-100%</v>
      </c>
      <c r="AO77" s="345">
        <f t="shared" si="84"/>
        <v>0</v>
      </c>
      <c r="AP77" s="350">
        <f t="shared" si="85"/>
        <v>0</v>
      </c>
      <c r="AQ77" s="348">
        <f t="shared" si="86"/>
        <v>0</v>
      </c>
      <c r="AR77" s="348">
        <f t="shared" si="87"/>
        <v>14</v>
      </c>
      <c r="AS77" s="348">
        <f t="shared" si="88"/>
        <v>0</v>
      </c>
      <c r="AT77" s="458">
        <v>1</v>
      </c>
      <c r="AU77" s="459">
        <f t="shared" si="89"/>
        <v>36</v>
      </c>
      <c r="AV77" s="448"/>
      <c r="AW77" s="813">
        <v>0</v>
      </c>
      <c r="AX77" s="449">
        <v>0</v>
      </c>
      <c r="AY77" s="431"/>
      <c r="AZ77" s="431">
        <v>3</v>
      </c>
      <c r="BA77" s="431"/>
      <c r="BB77" s="442" t="s">
        <v>290</v>
      </c>
      <c r="BC77" s="810">
        <f t="shared" si="90"/>
        <v>1</v>
      </c>
      <c r="BD77" s="348">
        <f t="shared" si="91"/>
        <v>36</v>
      </c>
      <c r="BE77" s="351">
        <f t="shared" si="92"/>
        <v>0</v>
      </c>
      <c r="BF77" s="348">
        <f t="shared" si="93"/>
        <v>0</v>
      </c>
      <c r="BG77" s="351">
        <f t="shared" si="94"/>
        <v>1</v>
      </c>
      <c r="BH77" s="348">
        <f t="shared" si="95"/>
        <v>36</v>
      </c>
      <c r="BI77" s="447">
        <v>0</v>
      </c>
      <c r="BJ77" s="463">
        <v>1</v>
      </c>
      <c r="BK77" s="352">
        <f t="shared" si="110"/>
        <v>36</v>
      </c>
      <c r="BL77" s="353">
        <f t="shared" si="111"/>
        <v>0</v>
      </c>
      <c r="BM77" s="431">
        <v>2</v>
      </c>
      <c r="BN77" s="431" t="s">
        <v>290</v>
      </c>
      <c r="BO77" s="351">
        <f t="shared" si="97"/>
        <v>1</v>
      </c>
      <c r="BP77" s="348">
        <f t="shared" si="98"/>
        <v>36</v>
      </c>
      <c r="BQ77" s="353">
        <f t="shared" si="99"/>
        <v>0</v>
      </c>
      <c r="BR77" s="458">
        <v>1</v>
      </c>
      <c r="BS77" s="348">
        <f t="shared" si="100"/>
        <v>36</v>
      </c>
      <c r="BT77" s="447">
        <v>1</v>
      </c>
      <c r="BU77" s="351">
        <f t="shared" si="101"/>
        <v>1</v>
      </c>
      <c r="BV77" s="353">
        <f t="shared" si="102"/>
        <v>0</v>
      </c>
      <c r="BW77" s="451">
        <v>1</v>
      </c>
      <c r="BX77" s="473"/>
      <c r="BY77" s="475">
        <v>42173</v>
      </c>
      <c r="BZ77" s="663" t="s">
        <v>821</v>
      </c>
      <c r="CA77" s="666"/>
      <c r="CB77" s="354">
        <f t="shared" si="103"/>
        <v>42538</v>
      </c>
      <c r="CC77" s="431">
        <v>15</v>
      </c>
      <c r="CD77" s="431">
        <v>0</v>
      </c>
      <c r="CE77" s="355">
        <f t="shared" si="104"/>
        <v>0</v>
      </c>
      <c r="CF77" s="356">
        <f t="shared" si="105"/>
        <v>1</v>
      </c>
      <c r="CG77" s="348">
        <f t="shared" si="106"/>
        <v>36</v>
      </c>
      <c r="CH77" s="370">
        <f t="shared" si="107"/>
        <v>8</v>
      </c>
      <c r="CI77" s="441"/>
      <c r="CJ77" s="453">
        <v>0</v>
      </c>
      <c r="CK77" s="372">
        <f t="shared" si="112"/>
        <v>0</v>
      </c>
      <c r="CL77" s="441">
        <v>1</v>
      </c>
      <c r="CM77" s="357" t="str">
        <f t="shared" si="109"/>
        <v>Excellent coverage</v>
      </c>
      <c r="CN77" s="447">
        <v>0</v>
      </c>
      <c r="CO77" s="753" t="s">
        <v>292</v>
      </c>
      <c r="CP77" s="482"/>
    </row>
    <row r="78" spans="2:94" s="36" customFormat="1" ht="30.75" customHeight="1" x14ac:dyDescent="0.25">
      <c r="B78" s="438" t="s">
        <v>220</v>
      </c>
      <c r="C78" s="430" t="s">
        <v>766</v>
      </c>
      <c r="D78" s="430" t="s">
        <v>258</v>
      </c>
      <c r="E78" s="430" t="s">
        <v>767</v>
      </c>
      <c r="F78" s="430"/>
      <c r="G78" s="430"/>
      <c r="H78" s="430" t="s">
        <v>442</v>
      </c>
      <c r="I78" s="430" t="s">
        <v>213</v>
      </c>
      <c r="J78" s="430" t="s">
        <v>814</v>
      </c>
      <c r="K78" s="430" t="s">
        <v>800</v>
      </c>
      <c r="L78" s="722">
        <v>20</v>
      </c>
      <c r="M78" s="722">
        <v>82</v>
      </c>
      <c r="N78" s="817">
        <v>82</v>
      </c>
      <c r="O78" s="818">
        <v>82</v>
      </c>
      <c r="P78" s="796" t="str">
        <f t="shared" si="74"/>
        <v>1. Small</v>
      </c>
      <c r="Q78" s="797" t="s">
        <v>330</v>
      </c>
      <c r="R78" s="434"/>
      <c r="S78" s="793" t="s">
        <v>299</v>
      </c>
      <c r="T78" s="365" t="str">
        <f t="shared" si="75"/>
        <v>Not covered</v>
      </c>
      <c r="U78" s="782" t="s">
        <v>619</v>
      </c>
      <c r="V78" s="783" t="s">
        <v>254</v>
      </c>
      <c r="W78" s="363" t="str">
        <f t="shared" si="76"/>
        <v>Not documented</v>
      </c>
      <c r="X78" s="443">
        <v>0</v>
      </c>
      <c r="Y78" s="433">
        <v>0</v>
      </c>
      <c r="Z78" s="659" t="s">
        <v>19</v>
      </c>
      <c r="AA78" s="444" t="s">
        <v>19</v>
      </c>
      <c r="AB78" s="443">
        <v>1</v>
      </c>
      <c r="AC78" s="433">
        <v>1</v>
      </c>
      <c r="AD78" s="832">
        <v>4000</v>
      </c>
      <c r="AE78" s="452">
        <v>0</v>
      </c>
      <c r="AF78" s="461">
        <v>0</v>
      </c>
      <c r="AG78" s="453"/>
      <c r="AH78" s="368">
        <f t="shared" si="77"/>
        <v>1</v>
      </c>
      <c r="AI78" s="346">
        <f t="shared" si="78"/>
        <v>82</v>
      </c>
      <c r="AJ78" s="347">
        <f t="shared" si="79"/>
        <v>1</v>
      </c>
      <c r="AK78" s="348">
        <f t="shared" si="80"/>
        <v>82</v>
      </c>
      <c r="AL78" s="345">
        <f t="shared" si="81"/>
        <v>1</v>
      </c>
      <c r="AM78" s="348">
        <f t="shared" si="82"/>
        <v>82</v>
      </c>
      <c r="AN78" s="349" t="str">
        <f t="shared" si="83"/>
        <v>80-100%</v>
      </c>
      <c r="AO78" s="345">
        <f t="shared" si="84"/>
        <v>0</v>
      </c>
      <c r="AP78" s="350">
        <f t="shared" si="85"/>
        <v>0</v>
      </c>
      <c r="AQ78" s="348">
        <f t="shared" si="86"/>
        <v>0</v>
      </c>
      <c r="AR78" s="348">
        <f t="shared" si="87"/>
        <v>0</v>
      </c>
      <c r="AS78" s="348">
        <f t="shared" si="88"/>
        <v>0</v>
      </c>
      <c r="AT78" s="461">
        <v>1</v>
      </c>
      <c r="AU78" s="459">
        <f t="shared" si="89"/>
        <v>82</v>
      </c>
      <c r="AV78" s="453"/>
      <c r="AW78" s="812">
        <v>4</v>
      </c>
      <c r="AX78" s="443">
        <v>0</v>
      </c>
      <c r="AY78" s="433"/>
      <c r="AZ78" s="433">
        <v>8</v>
      </c>
      <c r="BA78" s="433"/>
      <c r="BB78" s="444" t="s">
        <v>89</v>
      </c>
      <c r="BC78" s="810">
        <f t="shared" si="90"/>
        <v>1</v>
      </c>
      <c r="BD78" s="348">
        <f t="shared" si="91"/>
        <v>82</v>
      </c>
      <c r="BE78" s="351">
        <f t="shared" si="92"/>
        <v>0</v>
      </c>
      <c r="BF78" s="348">
        <f t="shared" si="93"/>
        <v>0</v>
      </c>
      <c r="BG78" s="351">
        <f t="shared" si="94"/>
        <v>1</v>
      </c>
      <c r="BH78" s="348">
        <f t="shared" si="95"/>
        <v>82</v>
      </c>
      <c r="BI78" s="466">
        <v>0</v>
      </c>
      <c r="BJ78" s="461">
        <v>1</v>
      </c>
      <c r="BK78" s="352">
        <f t="shared" si="110"/>
        <v>82</v>
      </c>
      <c r="BL78" s="353">
        <f t="shared" si="111"/>
        <v>0</v>
      </c>
      <c r="BM78" s="433">
        <v>2</v>
      </c>
      <c r="BN78" s="433" t="s">
        <v>291</v>
      </c>
      <c r="BO78" s="351">
        <f t="shared" si="97"/>
        <v>1</v>
      </c>
      <c r="BP78" s="348">
        <f t="shared" si="98"/>
        <v>82</v>
      </c>
      <c r="BQ78" s="353">
        <f t="shared" si="99"/>
        <v>0</v>
      </c>
      <c r="BR78" s="467">
        <v>1</v>
      </c>
      <c r="BS78" s="348">
        <f t="shared" si="100"/>
        <v>82</v>
      </c>
      <c r="BT78" s="433">
        <v>0</v>
      </c>
      <c r="BU78" s="351">
        <f t="shared" si="101"/>
        <v>0</v>
      </c>
      <c r="BV78" s="353">
        <f t="shared" si="102"/>
        <v>0.82</v>
      </c>
      <c r="BW78" s="453">
        <v>0</v>
      </c>
      <c r="BX78" s="474"/>
      <c r="BY78" s="476"/>
      <c r="BZ78" s="662"/>
      <c r="CA78" s="665"/>
      <c r="CB78" s="354" t="str">
        <f t="shared" si="103"/>
        <v>To be realised</v>
      </c>
      <c r="CC78" s="466">
        <v>0</v>
      </c>
      <c r="CD78" s="466">
        <v>0</v>
      </c>
      <c r="CE78" s="355">
        <f t="shared" si="104"/>
        <v>20</v>
      </c>
      <c r="CF78" s="356">
        <f t="shared" si="105"/>
        <v>0</v>
      </c>
      <c r="CG78" s="348">
        <f t="shared" si="106"/>
        <v>0</v>
      </c>
      <c r="CH78" s="370" t="str">
        <f t="shared" si="107"/>
        <v>Column BN to be completed</v>
      </c>
      <c r="CI78" s="478"/>
      <c r="CJ78" s="453">
        <v>0</v>
      </c>
      <c r="CK78" s="372">
        <f t="shared" si="112"/>
        <v>0</v>
      </c>
      <c r="CL78" s="478">
        <v>1</v>
      </c>
      <c r="CM78" s="357" t="str">
        <f t="shared" si="109"/>
        <v>Excellent coverage</v>
      </c>
      <c r="CN78" s="447">
        <v>0</v>
      </c>
      <c r="CO78" s="752" t="s">
        <v>292</v>
      </c>
      <c r="CP78" s="485"/>
    </row>
    <row r="79" spans="2:94" s="36" customFormat="1" ht="30.75" customHeight="1" x14ac:dyDescent="0.25">
      <c r="B79" s="438" t="s">
        <v>220</v>
      </c>
      <c r="C79" s="430" t="s">
        <v>764</v>
      </c>
      <c r="D79" s="430" t="s">
        <v>258</v>
      </c>
      <c r="E79" s="430" t="s">
        <v>765</v>
      </c>
      <c r="F79" s="430"/>
      <c r="G79" s="430"/>
      <c r="H79" s="430" t="s">
        <v>453</v>
      </c>
      <c r="I79" s="430" t="s">
        <v>213</v>
      </c>
      <c r="J79" s="430" t="s">
        <v>814</v>
      </c>
      <c r="K79" s="430" t="s">
        <v>801</v>
      </c>
      <c r="L79" s="722">
        <v>24</v>
      </c>
      <c r="M79" s="722">
        <v>83</v>
      </c>
      <c r="N79" s="639">
        <v>83</v>
      </c>
      <c r="O79" s="789">
        <v>83</v>
      </c>
      <c r="P79" s="796" t="str">
        <f t="shared" si="74"/>
        <v>1. Small</v>
      </c>
      <c r="Q79" s="797" t="s">
        <v>330</v>
      </c>
      <c r="R79" s="434"/>
      <c r="S79" s="793" t="s">
        <v>299</v>
      </c>
      <c r="T79" s="365" t="str">
        <f t="shared" si="75"/>
        <v>Not covered</v>
      </c>
      <c r="U79" s="782" t="s">
        <v>619</v>
      </c>
      <c r="V79" s="783" t="s">
        <v>254</v>
      </c>
      <c r="W79" s="363" t="str">
        <f t="shared" si="76"/>
        <v>Not documented</v>
      </c>
      <c r="X79" s="443">
        <v>0</v>
      </c>
      <c r="Y79" s="433">
        <v>0</v>
      </c>
      <c r="Z79" s="659" t="s">
        <v>19</v>
      </c>
      <c r="AA79" s="444" t="s">
        <v>19</v>
      </c>
      <c r="AB79" s="443">
        <v>0</v>
      </c>
      <c r="AC79" s="433">
        <v>1</v>
      </c>
      <c r="AD79" s="832">
        <v>0</v>
      </c>
      <c r="AE79" s="452">
        <v>0</v>
      </c>
      <c r="AF79" s="461">
        <v>0</v>
      </c>
      <c r="AG79" s="453"/>
      <c r="AH79" s="368">
        <f t="shared" si="77"/>
        <v>1</v>
      </c>
      <c r="AI79" s="346">
        <f t="shared" si="78"/>
        <v>83</v>
      </c>
      <c r="AJ79" s="347">
        <f t="shared" si="79"/>
        <v>1</v>
      </c>
      <c r="AK79" s="348">
        <f t="shared" si="80"/>
        <v>83</v>
      </c>
      <c r="AL79" s="345">
        <f t="shared" si="81"/>
        <v>1</v>
      </c>
      <c r="AM79" s="348">
        <f t="shared" si="82"/>
        <v>83</v>
      </c>
      <c r="AN79" s="349" t="str">
        <f t="shared" si="83"/>
        <v>80-100%</v>
      </c>
      <c r="AO79" s="345">
        <f t="shared" si="84"/>
        <v>0</v>
      </c>
      <c r="AP79" s="350">
        <f t="shared" si="85"/>
        <v>0</v>
      </c>
      <c r="AQ79" s="348">
        <f t="shared" si="86"/>
        <v>0</v>
      </c>
      <c r="AR79" s="348">
        <f t="shared" si="87"/>
        <v>0</v>
      </c>
      <c r="AS79" s="348">
        <f t="shared" si="88"/>
        <v>0</v>
      </c>
      <c r="AT79" s="461">
        <v>1</v>
      </c>
      <c r="AU79" s="459">
        <f t="shared" si="89"/>
        <v>83</v>
      </c>
      <c r="AV79" s="453"/>
      <c r="AW79" s="812">
        <v>573</v>
      </c>
      <c r="AX79" s="443">
        <v>24</v>
      </c>
      <c r="AY79" s="433"/>
      <c r="AZ79" s="433">
        <v>0</v>
      </c>
      <c r="BA79" s="433" t="s">
        <v>888</v>
      </c>
      <c r="BB79" s="444" t="s">
        <v>289</v>
      </c>
      <c r="BC79" s="810">
        <f t="shared" si="90"/>
        <v>1</v>
      </c>
      <c r="BD79" s="348">
        <f t="shared" si="91"/>
        <v>83</v>
      </c>
      <c r="BE79" s="351">
        <f t="shared" si="92"/>
        <v>1</v>
      </c>
      <c r="BF79" s="348">
        <f t="shared" si="93"/>
        <v>83</v>
      </c>
      <c r="BG79" s="351">
        <f t="shared" si="94"/>
        <v>0</v>
      </c>
      <c r="BH79" s="348">
        <f t="shared" si="95"/>
        <v>0</v>
      </c>
      <c r="BI79" s="466">
        <v>0</v>
      </c>
      <c r="BJ79" s="461">
        <v>1</v>
      </c>
      <c r="BK79" s="352">
        <f t="shared" si="110"/>
        <v>83</v>
      </c>
      <c r="BL79" s="353">
        <f t="shared" si="111"/>
        <v>4.1500000000000004</v>
      </c>
      <c r="BM79" s="433">
        <v>0</v>
      </c>
      <c r="BN79" s="433" t="s">
        <v>89</v>
      </c>
      <c r="BO79" s="351">
        <f t="shared" si="97"/>
        <v>0</v>
      </c>
      <c r="BP79" s="348">
        <f t="shared" si="98"/>
        <v>0</v>
      </c>
      <c r="BQ79" s="353">
        <f t="shared" si="99"/>
        <v>0.83</v>
      </c>
      <c r="BR79" s="467">
        <v>0</v>
      </c>
      <c r="BS79" s="348">
        <f t="shared" si="100"/>
        <v>0</v>
      </c>
      <c r="BT79" s="433">
        <v>0</v>
      </c>
      <c r="BU79" s="351">
        <f t="shared" si="101"/>
        <v>0</v>
      </c>
      <c r="BV79" s="353">
        <f t="shared" si="102"/>
        <v>0.83</v>
      </c>
      <c r="BW79" s="453">
        <v>0</v>
      </c>
      <c r="BX79" s="474"/>
      <c r="BY79" s="476"/>
      <c r="BZ79" s="662" t="s">
        <v>825</v>
      </c>
      <c r="CA79" s="666">
        <v>0</v>
      </c>
      <c r="CB79" s="354" t="str">
        <f t="shared" si="103"/>
        <v>To be realised</v>
      </c>
      <c r="CC79" s="466">
        <v>0</v>
      </c>
      <c r="CD79" s="466">
        <v>0</v>
      </c>
      <c r="CE79" s="355">
        <f t="shared" si="104"/>
        <v>24</v>
      </c>
      <c r="CF79" s="356">
        <f t="shared" si="105"/>
        <v>0</v>
      </c>
      <c r="CG79" s="348">
        <f t="shared" si="106"/>
        <v>0</v>
      </c>
      <c r="CH79" s="370" t="str">
        <f t="shared" si="107"/>
        <v>Column BN to be completed</v>
      </c>
      <c r="CI79" s="478"/>
      <c r="CJ79" s="453">
        <v>0</v>
      </c>
      <c r="CK79" s="372">
        <f t="shared" si="112"/>
        <v>0</v>
      </c>
      <c r="CL79" s="478">
        <v>2</v>
      </c>
      <c r="CM79" s="357" t="str">
        <f t="shared" si="109"/>
        <v>Excellent coverage</v>
      </c>
      <c r="CN79" s="447">
        <v>0</v>
      </c>
      <c r="CO79" s="752" t="s">
        <v>292</v>
      </c>
      <c r="CP79" s="485"/>
    </row>
    <row r="80" spans="2:94" s="36" customFormat="1" ht="30.75" customHeight="1" x14ac:dyDescent="0.2">
      <c r="B80" s="438" t="s">
        <v>129</v>
      </c>
      <c r="C80" s="430" t="s">
        <v>896</v>
      </c>
      <c r="D80" s="430" t="s">
        <v>258</v>
      </c>
      <c r="E80" s="430" t="s">
        <v>897</v>
      </c>
      <c r="F80" s="430">
        <v>96.52534</v>
      </c>
      <c r="G80" s="430">
        <v>24.996279999999999</v>
      </c>
      <c r="H80" s="430" t="s">
        <v>453</v>
      </c>
      <c r="I80" s="430" t="s">
        <v>213</v>
      </c>
      <c r="J80" s="430" t="s">
        <v>812</v>
      </c>
      <c r="K80" s="430" t="s">
        <v>801</v>
      </c>
      <c r="L80" s="721">
        <v>36</v>
      </c>
      <c r="M80" s="721">
        <v>153</v>
      </c>
      <c r="N80" s="431"/>
      <c r="O80" s="660">
        <v>153</v>
      </c>
      <c r="P80" s="796" t="str">
        <f t="shared" si="74"/>
        <v>1. Small</v>
      </c>
      <c r="Q80" s="797"/>
      <c r="R80" s="432"/>
      <c r="S80" s="793" t="s">
        <v>299</v>
      </c>
      <c r="T80" s="365" t="str">
        <f t="shared" si="75"/>
        <v>Not covered</v>
      </c>
      <c r="U80" s="437" t="s">
        <v>619</v>
      </c>
      <c r="V80" s="783" t="s">
        <v>254</v>
      </c>
      <c r="W80" s="363" t="str">
        <f t="shared" si="76"/>
        <v>Not documented</v>
      </c>
      <c r="X80" s="441">
        <v>0</v>
      </c>
      <c r="Y80" s="431">
        <v>0</v>
      </c>
      <c r="Z80" s="660" t="s">
        <v>19</v>
      </c>
      <c r="AA80" s="442" t="s">
        <v>19</v>
      </c>
      <c r="AB80" s="441">
        <v>0</v>
      </c>
      <c r="AC80" s="447">
        <v>0</v>
      </c>
      <c r="AD80" s="831">
        <v>0</v>
      </c>
      <c r="AE80" s="454">
        <v>0</v>
      </c>
      <c r="AF80" s="463">
        <v>0</v>
      </c>
      <c r="AG80" s="455"/>
      <c r="AH80" s="368">
        <f t="shared" si="77"/>
        <v>0</v>
      </c>
      <c r="AI80" s="346">
        <f t="shared" si="78"/>
        <v>0</v>
      </c>
      <c r="AJ80" s="347">
        <f t="shared" si="79"/>
        <v>0</v>
      </c>
      <c r="AK80" s="348">
        <f t="shared" si="80"/>
        <v>0</v>
      </c>
      <c r="AL80" s="345">
        <f t="shared" si="81"/>
        <v>0</v>
      </c>
      <c r="AM80" s="348">
        <f t="shared" si="82"/>
        <v>0</v>
      </c>
      <c r="AN80" s="349" t="str">
        <f t="shared" si="83"/>
        <v>0-10%</v>
      </c>
      <c r="AO80" s="345">
        <f t="shared" si="84"/>
        <v>0</v>
      </c>
      <c r="AP80" s="350">
        <f t="shared" si="85"/>
        <v>0</v>
      </c>
      <c r="AQ80" s="348">
        <f t="shared" si="86"/>
        <v>0.38250000000000001</v>
      </c>
      <c r="AR80" s="348">
        <f t="shared" si="87"/>
        <v>0</v>
      </c>
      <c r="AS80" s="348">
        <f t="shared" si="88"/>
        <v>0</v>
      </c>
      <c r="AT80" s="458">
        <v>0</v>
      </c>
      <c r="AU80" s="459">
        <f t="shared" si="89"/>
        <v>0</v>
      </c>
      <c r="AV80" s="448"/>
      <c r="AW80" s="813">
        <v>0</v>
      </c>
      <c r="AX80" s="449">
        <v>0</v>
      </c>
      <c r="AY80" s="431"/>
      <c r="AZ80" s="431">
        <v>3</v>
      </c>
      <c r="BA80" s="431"/>
      <c r="BB80" s="442" t="s">
        <v>290</v>
      </c>
      <c r="BC80" s="810">
        <f t="shared" si="90"/>
        <v>0.39215686274509803</v>
      </c>
      <c r="BD80" s="348">
        <f t="shared" si="91"/>
        <v>60</v>
      </c>
      <c r="BE80" s="351">
        <f t="shared" si="92"/>
        <v>0</v>
      </c>
      <c r="BF80" s="348">
        <f t="shared" si="93"/>
        <v>0</v>
      </c>
      <c r="BG80" s="351">
        <f t="shared" si="94"/>
        <v>0.39215686274509803</v>
      </c>
      <c r="BH80" s="348">
        <f t="shared" si="95"/>
        <v>60</v>
      </c>
      <c r="BI80" s="447">
        <v>0</v>
      </c>
      <c r="BJ80" s="463">
        <v>0.39</v>
      </c>
      <c r="BK80" s="352">
        <f t="shared" si="110"/>
        <v>59.67</v>
      </c>
      <c r="BL80" s="353">
        <f t="shared" si="111"/>
        <v>4.6500000000000004</v>
      </c>
      <c r="BM80" s="431">
        <v>0</v>
      </c>
      <c r="BN80" s="431" t="s">
        <v>89</v>
      </c>
      <c r="BO80" s="351">
        <f t="shared" si="97"/>
        <v>0</v>
      </c>
      <c r="BP80" s="348">
        <f t="shared" si="98"/>
        <v>0</v>
      </c>
      <c r="BQ80" s="353">
        <f t="shared" si="99"/>
        <v>1.53</v>
      </c>
      <c r="BR80" s="458">
        <v>0</v>
      </c>
      <c r="BS80" s="348">
        <f t="shared" si="100"/>
        <v>0</v>
      </c>
      <c r="BT80" s="447">
        <v>0</v>
      </c>
      <c r="BU80" s="351">
        <f t="shared" si="101"/>
        <v>0</v>
      </c>
      <c r="BV80" s="353">
        <f t="shared" si="102"/>
        <v>1.53</v>
      </c>
      <c r="BW80" s="451">
        <v>0</v>
      </c>
      <c r="BX80" s="473"/>
      <c r="BY80" s="475"/>
      <c r="BZ80" s="663"/>
      <c r="CA80" s="666"/>
      <c r="CB80" s="354" t="str">
        <f t="shared" si="103"/>
        <v>To be realised</v>
      </c>
      <c r="CC80" s="431">
        <v>0</v>
      </c>
      <c r="CD80" s="431">
        <v>0</v>
      </c>
      <c r="CE80" s="355">
        <f t="shared" si="104"/>
        <v>36</v>
      </c>
      <c r="CF80" s="356">
        <f t="shared" si="105"/>
        <v>0</v>
      </c>
      <c r="CG80" s="348">
        <f t="shared" si="106"/>
        <v>0</v>
      </c>
      <c r="CH80" s="370" t="str">
        <f t="shared" si="107"/>
        <v>Column BN to be completed</v>
      </c>
      <c r="CI80" s="441"/>
      <c r="CJ80" s="453">
        <v>0</v>
      </c>
      <c r="CK80" s="372">
        <f t="shared" si="112"/>
        <v>0</v>
      </c>
      <c r="CL80" s="441">
        <v>4</v>
      </c>
      <c r="CM80" s="357" t="str">
        <f t="shared" si="109"/>
        <v>Excellent coverage</v>
      </c>
      <c r="CN80" s="447">
        <v>0</v>
      </c>
      <c r="CO80" s="753" t="s">
        <v>66</v>
      </c>
      <c r="CP80" s="482"/>
    </row>
    <row r="81" spans="2:94" s="36" customFormat="1" ht="30.75" customHeight="1" x14ac:dyDescent="0.2">
      <c r="B81" s="438" t="s">
        <v>129</v>
      </c>
      <c r="C81" s="430" t="s">
        <v>898</v>
      </c>
      <c r="D81" s="430" t="s">
        <v>258</v>
      </c>
      <c r="E81" s="430" t="s">
        <v>899</v>
      </c>
      <c r="F81" s="430">
        <v>96.366919999999993</v>
      </c>
      <c r="G81" s="430">
        <v>24.764959999999999</v>
      </c>
      <c r="H81" s="430" t="s">
        <v>453</v>
      </c>
      <c r="I81" s="430" t="s">
        <v>213</v>
      </c>
      <c r="J81" s="430" t="s">
        <v>812</v>
      </c>
      <c r="K81" s="430" t="s">
        <v>801</v>
      </c>
      <c r="L81" s="722">
        <v>18</v>
      </c>
      <c r="M81" s="722">
        <v>74</v>
      </c>
      <c r="N81" s="639"/>
      <c r="O81" s="789">
        <v>74</v>
      </c>
      <c r="P81" s="796" t="str">
        <f t="shared" si="74"/>
        <v>1. Small</v>
      </c>
      <c r="Q81" s="797"/>
      <c r="R81" s="432"/>
      <c r="S81" s="793" t="s">
        <v>299</v>
      </c>
      <c r="T81" s="365" t="str">
        <f t="shared" si="75"/>
        <v>Not covered</v>
      </c>
      <c r="U81" s="437" t="s">
        <v>619</v>
      </c>
      <c r="V81" s="783" t="s">
        <v>254</v>
      </c>
      <c r="W81" s="363" t="str">
        <f t="shared" si="76"/>
        <v>Not documented</v>
      </c>
      <c r="X81" s="441">
        <v>0</v>
      </c>
      <c r="Y81" s="431">
        <v>0</v>
      </c>
      <c r="Z81" s="660" t="s">
        <v>19</v>
      </c>
      <c r="AA81" s="442" t="s">
        <v>19</v>
      </c>
      <c r="AB81" s="441">
        <v>0</v>
      </c>
      <c r="AC81" s="447">
        <v>0</v>
      </c>
      <c r="AD81" s="831">
        <v>0</v>
      </c>
      <c r="AE81" s="454">
        <v>0</v>
      </c>
      <c r="AF81" s="463">
        <v>0</v>
      </c>
      <c r="AG81" s="455"/>
      <c r="AH81" s="368">
        <f t="shared" si="77"/>
        <v>0</v>
      </c>
      <c r="AI81" s="346">
        <f t="shared" si="78"/>
        <v>0</v>
      </c>
      <c r="AJ81" s="347">
        <f t="shared" si="79"/>
        <v>0</v>
      </c>
      <c r="AK81" s="348">
        <f t="shared" si="80"/>
        <v>0</v>
      </c>
      <c r="AL81" s="345">
        <f t="shared" si="81"/>
        <v>0</v>
      </c>
      <c r="AM81" s="348">
        <f t="shared" si="82"/>
        <v>0</v>
      </c>
      <c r="AN81" s="349" t="str">
        <f t="shared" si="83"/>
        <v>0-10%</v>
      </c>
      <c r="AO81" s="345">
        <f t="shared" si="84"/>
        <v>0</v>
      </c>
      <c r="AP81" s="350">
        <f t="shared" si="85"/>
        <v>0</v>
      </c>
      <c r="AQ81" s="348">
        <f t="shared" si="86"/>
        <v>0.185</v>
      </c>
      <c r="AR81" s="348">
        <f t="shared" si="87"/>
        <v>0</v>
      </c>
      <c r="AS81" s="348">
        <f t="shared" si="88"/>
        <v>0</v>
      </c>
      <c r="AT81" s="458">
        <v>0</v>
      </c>
      <c r="AU81" s="459">
        <f t="shared" si="89"/>
        <v>0</v>
      </c>
      <c r="AV81" s="448"/>
      <c r="AW81" s="813">
        <v>24</v>
      </c>
      <c r="AX81" s="449">
        <v>14</v>
      </c>
      <c r="AY81" s="431"/>
      <c r="AZ81" s="431">
        <v>16</v>
      </c>
      <c r="BA81" s="431" t="s">
        <v>889</v>
      </c>
      <c r="BB81" s="442" t="s">
        <v>89</v>
      </c>
      <c r="BC81" s="810">
        <f t="shared" si="90"/>
        <v>1</v>
      </c>
      <c r="BD81" s="348">
        <f t="shared" si="91"/>
        <v>74</v>
      </c>
      <c r="BE81" s="351">
        <f t="shared" si="92"/>
        <v>0</v>
      </c>
      <c r="BF81" s="348">
        <f t="shared" si="93"/>
        <v>0</v>
      </c>
      <c r="BG81" s="351">
        <f t="shared" si="94"/>
        <v>1</v>
      </c>
      <c r="BH81" s="348">
        <f t="shared" si="95"/>
        <v>74</v>
      </c>
      <c r="BI81" s="447">
        <v>0</v>
      </c>
      <c r="BJ81" s="463">
        <v>1</v>
      </c>
      <c r="BK81" s="352">
        <f t="shared" si="110"/>
        <v>74</v>
      </c>
      <c r="BL81" s="353">
        <f t="shared" si="111"/>
        <v>0</v>
      </c>
      <c r="BM81" s="431">
        <v>0</v>
      </c>
      <c r="BN81" s="431" t="s">
        <v>89</v>
      </c>
      <c r="BO81" s="351">
        <f t="shared" si="97"/>
        <v>0</v>
      </c>
      <c r="BP81" s="348">
        <f t="shared" si="98"/>
        <v>0</v>
      </c>
      <c r="BQ81" s="353">
        <f t="shared" si="99"/>
        <v>0.74</v>
      </c>
      <c r="BR81" s="463">
        <v>0</v>
      </c>
      <c r="BS81" s="348">
        <f t="shared" si="100"/>
        <v>0</v>
      </c>
      <c r="BT81" s="431">
        <v>0</v>
      </c>
      <c r="BU81" s="351">
        <f t="shared" si="101"/>
        <v>0</v>
      </c>
      <c r="BV81" s="353">
        <f t="shared" si="102"/>
        <v>0.74</v>
      </c>
      <c r="BW81" s="451">
        <v>0</v>
      </c>
      <c r="BX81" s="473"/>
      <c r="BY81" s="475"/>
      <c r="BZ81" s="663"/>
      <c r="CA81" s="666"/>
      <c r="CB81" s="354" t="str">
        <f t="shared" si="103"/>
        <v>To be realised</v>
      </c>
      <c r="CC81" s="431">
        <v>0</v>
      </c>
      <c r="CD81" s="431">
        <v>0</v>
      </c>
      <c r="CE81" s="355">
        <f t="shared" si="104"/>
        <v>18</v>
      </c>
      <c r="CF81" s="356">
        <f t="shared" si="105"/>
        <v>0</v>
      </c>
      <c r="CG81" s="348">
        <f t="shared" si="106"/>
        <v>0</v>
      </c>
      <c r="CH81" s="370" t="str">
        <f t="shared" si="107"/>
        <v>Column BN to be completed</v>
      </c>
      <c r="CI81" s="441"/>
      <c r="CJ81" s="453">
        <v>0</v>
      </c>
      <c r="CK81" s="372">
        <f t="shared" si="112"/>
        <v>0</v>
      </c>
      <c r="CL81" s="441">
        <v>1</v>
      </c>
      <c r="CM81" s="357" t="str">
        <f t="shared" si="109"/>
        <v>Excellent coverage</v>
      </c>
      <c r="CN81" s="447">
        <v>0</v>
      </c>
      <c r="CO81" s="753" t="s">
        <v>65</v>
      </c>
      <c r="CP81" s="482"/>
    </row>
    <row r="82" spans="2:94" s="36" customFormat="1" ht="30.75" customHeight="1" x14ac:dyDescent="0.25">
      <c r="B82" s="438" t="s">
        <v>129</v>
      </c>
      <c r="C82" s="430" t="s">
        <v>551</v>
      </c>
      <c r="D82" s="430" t="s">
        <v>258</v>
      </c>
      <c r="E82" s="430" t="s">
        <v>314</v>
      </c>
      <c r="F82" s="430">
        <v>96.364949999999993</v>
      </c>
      <c r="G82" s="430">
        <v>24.998349999999999</v>
      </c>
      <c r="H82" s="430" t="s">
        <v>442</v>
      </c>
      <c r="I82" s="430" t="s">
        <v>213</v>
      </c>
      <c r="J82" s="430" t="s">
        <v>814</v>
      </c>
      <c r="K82" s="430" t="s">
        <v>800</v>
      </c>
      <c r="L82" s="722">
        <v>20</v>
      </c>
      <c r="M82" s="722">
        <v>106</v>
      </c>
      <c r="N82" s="817">
        <v>85</v>
      </c>
      <c r="O82" s="818">
        <v>85</v>
      </c>
      <c r="P82" s="796" t="str">
        <f t="shared" si="74"/>
        <v>1. Small</v>
      </c>
      <c r="Q82" s="797" t="s">
        <v>330</v>
      </c>
      <c r="R82" s="434" t="s">
        <v>234</v>
      </c>
      <c r="S82" s="793" t="s">
        <v>299</v>
      </c>
      <c r="T82" s="365" t="str">
        <f t="shared" si="75"/>
        <v>Not covered</v>
      </c>
      <c r="U82" s="782" t="s">
        <v>619</v>
      </c>
      <c r="V82" s="783" t="s">
        <v>254</v>
      </c>
      <c r="W82" s="363" t="str">
        <f t="shared" si="76"/>
        <v>Not documented</v>
      </c>
      <c r="X82" s="443">
        <v>0</v>
      </c>
      <c r="Y82" s="433">
        <v>0</v>
      </c>
      <c r="Z82" s="659" t="s">
        <v>19</v>
      </c>
      <c r="AA82" s="444" t="s">
        <v>19</v>
      </c>
      <c r="AB82" s="443">
        <v>0</v>
      </c>
      <c r="AC82" s="433">
        <v>1</v>
      </c>
      <c r="AD82" s="832">
        <v>7200</v>
      </c>
      <c r="AE82" s="452">
        <v>0</v>
      </c>
      <c r="AF82" s="461">
        <v>1</v>
      </c>
      <c r="AG82" s="453" t="s">
        <v>830</v>
      </c>
      <c r="AH82" s="368">
        <f t="shared" si="77"/>
        <v>1</v>
      </c>
      <c r="AI82" s="346">
        <f t="shared" si="78"/>
        <v>85</v>
      </c>
      <c r="AJ82" s="347">
        <f t="shared" si="79"/>
        <v>1</v>
      </c>
      <c r="AK82" s="348">
        <f t="shared" si="80"/>
        <v>85</v>
      </c>
      <c r="AL82" s="345">
        <f t="shared" si="81"/>
        <v>1</v>
      </c>
      <c r="AM82" s="348">
        <f t="shared" si="82"/>
        <v>85</v>
      </c>
      <c r="AN82" s="349" t="str">
        <f t="shared" si="83"/>
        <v>80-100%</v>
      </c>
      <c r="AO82" s="345">
        <f t="shared" si="84"/>
        <v>0</v>
      </c>
      <c r="AP82" s="350">
        <f t="shared" si="85"/>
        <v>0</v>
      </c>
      <c r="AQ82" s="348">
        <f t="shared" si="86"/>
        <v>0</v>
      </c>
      <c r="AR82" s="348">
        <f t="shared" si="87"/>
        <v>20</v>
      </c>
      <c r="AS82" s="348">
        <f t="shared" si="88"/>
        <v>0</v>
      </c>
      <c r="AT82" s="461">
        <v>1</v>
      </c>
      <c r="AU82" s="459">
        <f t="shared" si="89"/>
        <v>85</v>
      </c>
      <c r="AV82" s="453"/>
      <c r="AW82" s="812">
        <v>0</v>
      </c>
      <c r="AX82" s="443">
        <v>2</v>
      </c>
      <c r="AY82" s="433"/>
      <c r="AZ82" s="433">
        <v>6</v>
      </c>
      <c r="BA82" s="433" t="s">
        <v>888</v>
      </c>
      <c r="BB82" s="444" t="s">
        <v>291</v>
      </c>
      <c r="BC82" s="810">
        <f t="shared" si="90"/>
        <v>1</v>
      </c>
      <c r="BD82" s="348">
        <f t="shared" si="91"/>
        <v>85</v>
      </c>
      <c r="BE82" s="351">
        <f t="shared" si="92"/>
        <v>0</v>
      </c>
      <c r="BF82" s="348">
        <f t="shared" si="93"/>
        <v>0</v>
      </c>
      <c r="BG82" s="351">
        <f t="shared" si="94"/>
        <v>1</v>
      </c>
      <c r="BH82" s="348">
        <f t="shared" si="95"/>
        <v>85</v>
      </c>
      <c r="BI82" s="466">
        <v>0</v>
      </c>
      <c r="BJ82" s="461">
        <v>1</v>
      </c>
      <c r="BK82" s="352">
        <f t="shared" si="110"/>
        <v>85</v>
      </c>
      <c r="BL82" s="353">
        <f t="shared" si="111"/>
        <v>0</v>
      </c>
      <c r="BM82" s="433">
        <v>2</v>
      </c>
      <c r="BN82" s="433" t="s">
        <v>291</v>
      </c>
      <c r="BO82" s="351">
        <f t="shared" si="97"/>
        <v>1</v>
      </c>
      <c r="BP82" s="348">
        <f t="shared" si="98"/>
        <v>85</v>
      </c>
      <c r="BQ82" s="353">
        <f t="shared" si="99"/>
        <v>0</v>
      </c>
      <c r="BR82" s="467">
        <v>1</v>
      </c>
      <c r="BS82" s="348">
        <f t="shared" si="100"/>
        <v>85</v>
      </c>
      <c r="BT82" s="433">
        <v>2</v>
      </c>
      <c r="BU82" s="351">
        <f t="shared" si="101"/>
        <v>1</v>
      </c>
      <c r="BV82" s="353">
        <f t="shared" si="102"/>
        <v>0</v>
      </c>
      <c r="BW82" s="453">
        <v>1</v>
      </c>
      <c r="BX82" s="474"/>
      <c r="BY82" s="476">
        <v>42173</v>
      </c>
      <c r="BZ82" s="662" t="s">
        <v>821</v>
      </c>
      <c r="CA82" s="665"/>
      <c r="CB82" s="354">
        <f t="shared" si="103"/>
        <v>42538</v>
      </c>
      <c r="CC82" s="466">
        <v>19</v>
      </c>
      <c r="CD82" s="466">
        <v>0</v>
      </c>
      <c r="CE82" s="355">
        <f t="shared" si="104"/>
        <v>1</v>
      </c>
      <c r="CF82" s="356">
        <f t="shared" si="105"/>
        <v>0.95</v>
      </c>
      <c r="CG82" s="348">
        <f t="shared" si="106"/>
        <v>80.75</v>
      </c>
      <c r="CH82" s="370">
        <f t="shared" si="107"/>
        <v>8</v>
      </c>
      <c r="CI82" s="478"/>
      <c r="CJ82" s="453">
        <v>0</v>
      </c>
      <c r="CK82" s="372">
        <f t="shared" si="112"/>
        <v>0</v>
      </c>
      <c r="CL82" s="478">
        <v>4</v>
      </c>
      <c r="CM82" s="357" t="str">
        <f t="shared" si="109"/>
        <v>Excellent coverage</v>
      </c>
      <c r="CN82" s="447">
        <v>0</v>
      </c>
      <c r="CO82" s="752" t="s">
        <v>292</v>
      </c>
      <c r="CP82" s="485"/>
    </row>
    <row r="83" spans="2:94" s="36" customFormat="1" ht="30.75" customHeight="1" x14ac:dyDescent="0.25">
      <c r="B83" s="438" t="s">
        <v>129</v>
      </c>
      <c r="C83" s="430" t="s">
        <v>550</v>
      </c>
      <c r="D83" s="430" t="s">
        <v>258</v>
      </c>
      <c r="E83" s="430" t="s">
        <v>130</v>
      </c>
      <c r="F83" s="430">
        <v>96.367059999999995</v>
      </c>
      <c r="G83" s="430">
        <v>24.764800000000001</v>
      </c>
      <c r="H83" s="430" t="s">
        <v>442</v>
      </c>
      <c r="I83" s="430" t="s">
        <v>213</v>
      </c>
      <c r="J83" s="430" t="s">
        <v>813</v>
      </c>
      <c r="K83" s="430" t="s">
        <v>800</v>
      </c>
      <c r="L83" s="722">
        <v>12</v>
      </c>
      <c r="M83" s="722">
        <v>61</v>
      </c>
      <c r="N83" s="639">
        <v>51</v>
      </c>
      <c r="O83" s="789">
        <v>51</v>
      </c>
      <c r="P83" s="796" t="str">
        <f t="shared" si="74"/>
        <v>1. Small</v>
      </c>
      <c r="Q83" s="797"/>
      <c r="R83" s="434" t="s">
        <v>230</v>
      </c>
      <c r="S83" s="793" t="s">
        <v>299</v>
      </c>
      <c r="T83" s="365" t="str">
        <f t="shared" si="75"/>
        <v>Not covered</v>
      </c>
      <c r="U83" s="437" t="s">
        <v>619</v>
      </c>
      <c r="V83" s="783" t="s">
        <v>254</v>
      </c>
      <c r="W83" s="363" t="str">
        <f t="shared" si="76"/>
        <v>Not documented</v>
      </c>
      <c r="X83" s="443">
        <v>0</v>
      </c>
      <c r="Y83" s="433">
        <v>0</v>
      </c>
      <c r="Z83" s="659" t="s">
        <v>19</v>
      </c>
      <c r="AA83" s="444" t="s">
        <v>19</v>
      </c>
      <c r="AB83" s="443">
        <v>1</v>
      </c>
      <c r="AC83" s="433">
        <v>0</v>
      </c>
      <c r="AD83" s="832">
        <v>3000</v>
      </c>
      <c r="AE83" s="452">
        <v>0</v>
      </c>
      <c r="AF83" s="461">
        <v>0</v>
      </c>
      <c r="AG83" s="453"/>
      <c r="AH83" s="368">
        <f t="shared" si="77"/>
        <v>1</v>
      </c>
      <c r="AI83" s="346">
        <f t="shared" si="78"/>
        <v>51</v>
      </c>
      <c r="AJ83" s="347">
        <f t="shared" si="79"/>
        <v>1</v>
      </c>
      <c r="AK83" s="348">
        <f t="shared" si="80"/>
        <v>51</v>
      </c>
      <c r="AL83" s="345">
        <f t="shared" si="81"/>
        <v>1</v>
      </c>
      <c r="AM83" s="348">
        <f t="shared" si="82"/>
        <v>51</v>
      </c>
      <c r="AN83" s="349" t="str">
        <f t="shared" si="83"/>
        <v>80-100%</v>
      </c>
      <c r="AO83" s="345">
        <f t="shared" si="84"/>
        <v>0</v>
      </c>
      <c r="AP83" s="350">
        <f t="shared" si="85"/>
        <v>0</v>
      </c>
      <c r="AQ83" s="348">
        <f t="shared" si="86"/>
        <v>0</v>
      </c>
      <c r="AR83" s="348">
        <f t="shared" si="87"/>
        <v>0</v>
      </c>
      <c r="AS83" s="348">
        <f t="shared" si="88"/>
        <v>0</v>
      </c>
      <c r="AT83" s="461">
        <v>1</v>
      </c>
      <c r="AU83" s="459">
        <f t="shared" si="89"/>
        <v>51</v>
      </c>
      <c r="AV83" s="453"/>
      <c r="AW83" s="812">
        <v>16</v>
      </c>
      <c r="AX83" s="443">
        <v>0</v>
      </c>
      <c r="AY83" s="433"/>
      <c r="AZ83" s="433">
        <v>3</v>
      </c>
      <c r="BA83" s="433"/>
      <c r="BB83" s="444" t="s">
        <v>89</v>
      </c>
      <c r="BC83" s="810">
        <f t="shared" si="90"/>
        <v>1</v>
      </c>
      <c r="BD83" s="348">
        <f t="shared" si="91"/>
        <v>51</v>
      </c>
      <c r="BE83" s="351">
        <f t="shared" si="92"/>
        <v>0</v>
      </c>
      <c r="BF83" s="348">
        <f t="shared" si="93"/>
        <v>0</v>
      </c>
      <c r="BG83" s="351">
        <f t="shared" si="94"/>
        <v>1</v>
      </c>
      <c r="BH83" s="348">
        <f t="shared" si="95"/>
        <v>51</v>
      </c>
      <c r="BI83" s="466">
        <v>0</v>
      </c>
      <c r="BJ83" s="461">
        <v>1</v>
      </c>
      <c r="BK83" s="352">
        <f t="shared" si="110"/>
        <v>51</v>
      </c>
      <c r="BL83" s="353">
        <f t="shared" si="111"/>
        <v>0</v>
      </c>
      <c r="BM83" s="433">
        <v>2</v>
      </c>
      <c r="BN83" s="433" t="s">
        <v>290</v>
      </c>
      <c r="BO83" s="351">
        <f t="shared" si="97"/>
        <v>1</v>
      </c>
      <c r="BP83" s="348">
        <f t="shared" si="98"/>
        <v>51</v>
      </c>
      <c r="BQ83" s="353">
        <f t="shared" si="99"/>
        <v>0</v>
      </c>
      <c r="BR83" s="467">
        <v>1</v>
      </c>
      <c r="BS83" s="348">
        <f t="shared" si="100"/>
        <v>51</v>
      </c>
      <c r="BT83" s="433">
        <v>1</v>
      </c>
      <c r="BU83" s="351">
        <f t="shared" si="101"/>
        <v>1</v>
      </c>
      <c r="BV83" s="353">
        <f t="shared" si="102"/>
        <v>0</v>
      </c>
      <c r="BW83" s="453">
        <v>1</v>
      </c>
      <c r="BX83" s="474" t="s">
        <v>782</v>
      </c>
      <c r="BY83" s="476">
        <v>41817</v>
      </c>
      <c r="BZ83" s="662" t="s">
        <v>821</v>
      </c>
      <c r="CA83" s="665">
        <v>0</v>
      </c>
      <c r="CB83" s="354" t="str">
        <f t="shared" si="103"/>
        <v>To be realised</v>
      </c>
      <c r="CC83" s="466">
        <v>12</v>
      </c>
      <c r="CD83" s="466">
        <v>2</v>
      </c>
      <c r="CE83" s="355">
        <f t="shared" si="104"/>
        <v>12</v>
      </c>
      <c r="CF83" s="356">
        <f t="shared" si="105"/>
        <v>0</v>
      </c>
      <c r="CG83" s="348">
        <f t="shared" si="106"/>
        <v>0</v>
      </c>
      <c r="CH83" s="370">
        <f t="shared" si="107"/>
        <v>17</v>
      </c>
      <c r="CI83" s="478"/>
      <c r="CJ83" s="453">
        <v>0</v>
      </c>
      <c r="CK83" s="372">
        <f t="shared" si="112"/>
        <v>0</v>
      </c>
      <c r="CL83" s="478">
        <v>2</v>
      </c>
      <c r="CM83" s="357" t="str">
        <f t="shared" si="109"/>
        <v>Excellent coverage</v>
      </c>
      <c r="CN83" s="447">
        <v>0</v>
      </c>
      <c r="CO83" s="752" t="s">
        <v>292</v>
      </c>
      <c r="CP83" s="485"/>
    </row>
    <row r="84" spans="2:94" s="36" customFormat="1" ht="30.75" customHeight="1" x14ac:dyDescent="0.2">
      <c r="B84" s="438" t="s">
        <v>183</v>
      </c>
      <c r="C84" s="430" t="s">
        <v>564</v>
      </c>
      <c r="D84" s="430" t="s">
        <v>259</v>
      </c>
      <c r="E84" s="430" t="s">
        <v>455</v>
      </c>
      <c r="F84" s="430">
        <v>97.347049999999996</v>
      </c>
      <c r="G84" s="430">
        <v>24.255870000000002</v>
      </c>
      <c r="H84" s="430" t="s">
        <v>442</v>
      </c>
      <c r="I84" s="430" t="s">
        <v>213</v>
      </c>
      <c r="J84" s="430" t="s">
        <v>813</v>
      </c>
      <c r="K84" s="430" t="s">
        <v>800</v>
      </c>
      <c r="L84" s="722">
        <v>141</v>
      </c>
      <c r="M84" s="722">
        <v>625</v>
      </c>
      <c r="N84" s="639">
        <v>625</v>
      </c>
      <c r="O84" s="789">
        <v>625</v>
      </c>
      <c r="P84" s="796" t="str">
        <f t="shared" si="74"/>
        <v>2. Medium</v>
      </c>
      <c r="Q84" s="797" t="s">
        <v>937</v>
      </c>
      <c r="R84" s="434" t="s">
        <v>234</v>
      </c>
      <c r="S84" s="792" t="s">
        <v>232</v>
      </c>
      <c r="T84" s="365" t="str">
        <f t="shared" si="75"/>
        <v>Covered</v>
      </c>
      <c r="U84" s="782">
        <v>42521</v>
      </c>
      <c r="V84" s="783" t="s">
        <v>252</v>
      </c>
      <c r="W84" s="363" t="str">
        <f t="shared" si="76"/>
        <v>Documented</v>
      </c>
      <c r="X84" s="443">
        <v>0</v>
      </c>
      <c r="Y84" s="433">
        <v>0</v>
      </c>
      <c r="Z84" s="659" t="s">
        <v>18</v>
      </c>
      <c r="AA84" s="444" t="s">
        <v>19</v>
      </c>
      <c r="AB84" s="443">
        <v>1</v>
      </c>
      <c r="AC84" s="433">
        <v>1</v>
      </c>
      <c r="AD84" s="832">
        <v>9555</v>
      </c>
      <c r="AE84" s="452">
        <v>0.1</v>
      </c>
      <c r="AF84" s="461">
        <v>0.3</v>
      </c>
      <c r="AG84" s="453" t="s">
        <v>830</v>
      </c>
      <c r="AH84" s="368">
        <f t="shared" si="77"/>
        <v>1</v>
      </c>
      <c r="AI84" s="346">
        <f t="shared" si="78"/>
        <v>625</v>
      </c>
      <c r="AJ84" s="347">
        <f t="shared" si="79"/>
        <v>1</v>
      </c>
      <c r="AK84" s="348">
        <f t="shared" si="80"/>
        <v>625</v>
      </c>
      <c r="AL84" s="345">
        <f t="shared" si="81"/>
        <v>1</v>
      </c>
      <c r="AM84" s="348">
        <f t="shared" si="82"/>
        <v>625</v>
      </c>
      <c r="AN84" s="349" t="str">
        <f t="shared" si="83"/>
        <v>80-100%</v>
      </c>
      <c r="AO84" s="345">
        <f t="shared" si="84"/>
        <v>0</v>
      </c>
      <c r="AP84" s="350">
        <f t="shared" si="85"/>
        <v>0</v>
      </c>
      <c r="AQ84" s="348">
        <f t="shared" si="86"/>
        <v>0</v>
      </c>
      <c r="AR84" s="348">
        <f t="shared" si="87"/>
        <v>42.3</v>
      </c>
      <c r="AS84" s="348">
        <f t="shared" si="88"/>
        <v>62.5</v>
      </c>
      <c r="AT84" s="461">
        <v>1</v>
      </c>
      <c r="AU84" s="459">
        <f t="shared" si="89"/>
        <v>625</v>
      </c>
      <c r="AV84" s="453"/>
      <c r="AW84" s="812">
        <v>60</v>
      </c>
      <c r="AX84" s="443">
        <v>14</v>
      </c>
      <c r="AY84" s="433"/>
      <c r="AZ84" s="433">
        <v>14</v>
      </c>
      <c r="BA84" s="433" t="s">
        <v>889</v>
      </c>
      <c r="BB84" s="444" t="s">
        <v>289</v>
      </c>
      <c r="BC84" s="810">
        <f t="shared" si="90"/>
        <v>0.89600000000000002</v>
      </c>
      <c r="BD84" s="348">
        <f t="shared" si="91"/>
        <v>560</v>
      </c>
      <c r="BE84" s="351">
        <f t="shared" si="92"/>
        <v>0.44800000000000001</v>
      </c>
      <c r="BF84" s="348">
        <f t="shared" si="93"/>
        <v>280</v>
      </c>
      <c r="BG84" s="351">
        <f t="shared" si="94"/>
        <v>0.44800000000000001</v>
      </c>
      <c r="BH84" s="348">
        <f t="shared" si="95"/>
        <v>280</v>
      </c>
      <c r="BI84" s="466">
        <v>0</v>
      </c>
      <c r="BJ84" s="461">
        <v>0.96</v>
      </c>
      <c r="BK84" s="352">
        <f t="shared" si="110"/>
        <v>600</v>
      </c>
      <c r="BL84" s="353">
        <f t="shared" si="111"/>
        <v>17.25</v>
      </c>
      <c r="BM84" s="433">
        <v>8</v>
      </c>
      <c r="BN84" s="433" t="s">
        <v>291</v>
      </c>
      <c r="BO84" s="351">
        <f t="shared" si="97"/>
        <v>1</v>
      </c>
      <c r="BP84" s="348">
        <f t="shared" si="98"/>
        <v>625</v>
      </c>
      <c r="BQ84" s="353">
        <f t="shared" si="99"/>
        <v>0</v>
      </c>
      <c r="BR84" s="467">
        <v>1</v>
      </c>
      <c r="BS84" s="348">
        <f t="shared" si="100"/>
        <v>625</v>
      </c>
      <c r="BT84" s="433">
        <v>11</v>
      </c>
      <c r="BU84" s="351">
        <f t="shared" si="101"/>
        <v>1</v>
      </c>
      <c r="BV84" s="353">
        <f t="shared" si="102"/>
        <v>0</v>
      </c>
      <c r="BW84" s="453">
        <v>1</v>
      </c>
      <c r="BX84" s="474"/>
      <c r="BY84" s="476">
        <v>41771</v>
      </c>
      <c r="BZ84" s="662" t="s">
        <v>821</v>
      </c>
      <c r="CA84" s="665">
        <v>0</v>
      </c>
      <c r="CB84" s="354" t="str">
        <f t="shared" si="103"/>
        <v>To be realised</v>
      </c>
      <c r="CC84" s="466">
        <v>143</v>
      </c>
      <c r="CD84" s="466">
        <v>10</v>
      </c>
      <c r="CE84" s="355">
        <f t="shared" si="104"/>
        <v>141</v>
      </c>
      <c r="CF84" s="356">
        <f t="shared" si="105"/>
        <v>0</v>
      </c>
      <c r="CG84" s="348">
        <f t="shared" si="106"/>
        <v>0</v>
      </c>
      <c r="CH84" s="370">
        <f t="shared" si="107"/>
        <v>11</v>
      </c>
      <c r="CI84" s="478"/>
      <c r="CJ84" s="453">
        <v>0.8</v>
      </c>
      <c r="CK84" s="372">
        <f t="shared" si="112"/>
        <v>500</v>
      </c>
      <c r="CL84" s="478">
        <v>1</v>
      </c>
      <c r="CM84" s="357" t="str">
        <f t="shared" si="109"/>
        <v>Good coverage</v>
      </c>
      <c r="CN84" s="447">
        <v>0</v>
      </c>
      <c r="CO84" s="752" t="s">
        <v>65</v>
      </c>
      <c r="CP84" s="484"/>
    </row>
    <row r="85" spans="2:94" s="36" customFormat="1" ht="30.75" customHeight="1" x14ac:dyDescent="0.2">
      <c r="B85" s="438" t="s">
        <v>183</v>
      </c>
      <c r="C85" s="430" t="s">
        <v>900</v>
      </c>
      <c r="D85" s="430" t="s">
        <v>259</v>
      </c>
      <c r="E85" s="430" t="s">
        <v>901</v>
      </c>
      <c r="F85" s="430"/>
      <c r="G85" s="430"/>
      <c r="H85" s="430" t="s">
        <v>443</v>
      </c>
      <c r="I85" s="430" t="s">
        <v>213</v>
      </c>
      <c r="J85" s="430" t="s">
        <v>814</v>
      </c>
      <c r="K85" s="430" t="s">
        <v>805</v>
      </c>
      <c r="L85" s="722"/>
      <c r="M85" s="722">
        <v>49</v>
      </c>
      <c r="N85" s="639"/>
      <c r="O85" s="789">
        <v>49</v>
      </c>
      <c r="P85" s="796" t="str">
        <f t="shared" si="74"/>
        <v>1. Small</v>
      </c>
      <c r="Q85" s="797"/>
      <c r="R85" s="432"/>
      <c r="S85" s="793" t="s">
        <v>299</v>
      </c>
      <c r="T85" s="365" t="str">
        <f t="shared" si="75"/>
        <v>Not covered</v>
      </c>
      <c r="U85" s="437" t="s">
        <v>619</v>
      </c>
      <c r="V85" s="783" t="s">
        <v>254</v>
      </c>
      <c r="W85" s="363" t="str">
        <f t="shared" si="76"/>
        <v>Not documented</v>
      </c>
      <c r="X85" s="441">
        <v>0</v>
      </c>
      <c r="Y85" s="431">
        <v>0</v>
      </c>
      <c r="Z85" s="660" t="s">
        <v>19</v>
      </c>
      <c r="AA85" s="442" t="s">
        <v>19</v>
      </c>
      <c r="AB85" s="441">
        <v>0</v>
      </c>
      <c r="AC85" s="447">
        <v>0</v>
      </c>
      <c r="AD85" s="831">
        <v>0</v>
      </c>
      <c r="AE85" s="454">
        <v>0</v>
      </c>
      <c r="AF85" s="463">
        <v>0</v>
      </c>
      <c r="AG85" s="455"/>
      <c r="AH85" s="368">
        <f t="shared" si="77"/>
        <v>0</v>
      </c>
      <c r="AI85" s="346">
        <f t="shared" si="78"/>
        <v>0</v>
      </c>
      <c r="AJ85" s="347">
        <f t="shared" si="79"/>
        <v>0</v>
      </c>
      <c r="AK85" s="348">
        <f t="shared" si="80"/>
        <v>0</v>
      </c>
      <c r="AL85" s="345">
        <f t="shared" si="81"/>
        <v>0</v>
      </c>
      <c r="AM85" s="348">
        <f t="shared" si="82"/>
        <v>0</v>
      </c>
      <c r="AN85" s="349" t="str">
        <f t="shared" si="83"/>
        <v>0-10%</v>
      </c>
      <c r="AO85" s="345">
        <f t="shared" si="84"/>
        <v>0</v>
      </c>
      <c r="AP85" s="350">
        <f t="shared" si="85"/>
        <v>0</v>
      </c>
      <c r="AQ85" s="348">
        <f t="shared" si="86"/>
        <v>0.1225</v>
      </c>
      <c r="AR85" s="348">
        <f t="shared" si="87"/>
        <v>0</v>
      </c>
      <c r="AS85" s="348">
        <f t="shared" si="88"/>
        <v>0</v>
      </c>
      <c r="AT85" s="458">
        <v>0</v>
      </c>
      <c r="AU85" s="459">
        <f t="shared" si="89"/>
        <v>0</v>
      </c>
      <c r="AV85" s="462"/>
      <c r="AW85" s="813">
        <v>12</v>
      </c>
      <c r="AX85" s="449">
        <v>0</v>
      </c>
      <c r="AY85" s="431"/>
      <c r="AZ85" s="431">
        <v>6</v>
      </c>
      <c r="BA85" s="431" t="s">
        <v>889</v>
      </c>
      <c r="BB85" s="442" t="s">
        <v>89</v>
      </c>
      <c r="BC85" s="810">
        <f t="shared" si="90"/>
        <v>1</v>
      </c>
      <c r="BD85" s="348">
        <f t="shared" si="91"/>
        <v>49</v>
      </c>
      <c r="BE85" s="351">
        <f t="shared" si="92"/>
        <v>0</v>
      </c>
      <c r="BF85" s="348">
        <f t="shared" si="93"/>
        <v>0</v>
      </c>
      <c r="BG85" s="351">
        <f t="shared" si="94"/>
        <v>1</v>
      </c>
      <c r="BH85" s="348">
        <f t="shared" si="95"/>
        <v>49</v>
      </c>
      <c r="BI85" s="447">
        <v>0</v>
      </c>
      <c r="BJ85" s="463">
        <v>1</v>
      </c>
      <c r="BK85" s="352">
        <f t="shared" si="110"/>
        <v>49</v>
      </c>
      <c r="BL85" s="353">
        <f t="shared" si="111"/>
        <v>0</v>
      </c>
      <c r="BM85" s="431">
        <v>0</v>
      </c>
      <c r="BN85" s="431" t="s">
        <v>89</v>
      </c>
      <c r="BO85" s="351">
        <f t="shared" si="97"/>
        <v>0</v>
      </c>
      <c r="BP85" s="348">
        <f t="shared" si="98"/>
        <v>0</v>
      </c>
      <c r="BQ85" s="353">
        <f t="shared" si="99"/>
        <v>0.49</v>
      </c>
      <c r="BR85" s="463">
        <v>0</v>
      </c>
      <c r="BS85" s="348">
        <f t="shared" si="100"/>
        <v>0</v>
      </c>
      <c r="BT85" s="431">
        <v>0</v>
      </c>
      <c r="BU85" s="351">
        <f t="shared" si="101"/>
        <v>0</v>
      </c>
      <c r="BV85" s="353">
        <f t="shared" si="102"/>
        <v>0.49</v>
      </c>
      <c r="BW85" s="451">
        <v>0</v>
      </c>
      <c r="BX85" s="473"/>
      <c r="BY85" s="475"/>
      <c r="BZ85" s="663"/>
      <c r="CA85" s="666"/>
      <c r="CB85" s="354" t="str">
        <f t="shared" si="103"/>
        <v>To be realised</v>
      </c>
      <c r="CC85" s="431">
        <v>0</v>
      </c>
      <c r="CD85" s="431">
        <v>0</v>
      </c>
      <c r="CE85" s="355">
        <f t="shared" si="104"/>
        <v>0</v>
      </c>
      <c r="CF85" s="356">
        <f t="shared" si="105"/>
        <v>1</v>
      </c>
      <c r="CG85" s="348">
        <f t="shared" si="106"/>
        <v>49</v>
      </c>
      <c r="CH85" s="370" t="str">
        <f t="shared" si="107"/>
        <v>Column BN to be completed</v>
      </c>
      <c r="CI85" s="441"/>
      <c r="CJ85" s="453">
        <v>0</v>
      </c>
      <c r="CK85" s="372">
        <f t="shared" si="112"/>
        <v>0</v>
      </c>
      <c r="CL85" s="441">
        <v>1</v>
      </c>
      <c r="CM85" s="357" t="str">
        <f t="shared" si="109"/>
        <v>Excellent coverage</v>
      </c>
      <c r="CN85" s="447">
        <v>0</v>
      </c>
      <c r="CO85" s="753" t="s">
        <v>65</v>
      </c>
      <c r="CP85" s="482"/>
    </row>
    <row r="86" spans="2:94" s="36" customFormat="1" ht="30.75" customHeight="1" x14ac:dyDescent="0.2">
      <c r="B86" s="438" t="s">
        <v>183</v>
      </c>
      <c r="C86" s="430" t="s">
        <v>552</v>
      </c>
      <c r="D86" s="430" t="s">
        <v>265</v>
      </c>
      <c r="E86" s="430" t="s">
        <v>184</v>
      </c>
      <c r="F86" s="430">
        <v>97.537099999999995</v>
      </c>
      <c r="G86" s="430">
        <v>24.461033</v>
      </c>
      <c r="H86" s="430" t="s">
        <v>442</v>
      </c>
      <c r="I86" s="430" t="s">
        <v>221</v>
      </c>
      <c r="J86" s="430" t="s">
        <v>814</v>
      </c>
      <c r="K86" s="430" t="s">
        <v>800</v>
      </c>
      <c r="L86" s="722">
        <v>115</v>
      </c>
      <c r="M86" s="722">
        <v>595</v>
      </c>
      <c r="N86" s="639">
        <v>620</v>
      </c>
      <c r="O86" s="789">
        <v>620</v>
      </c>
      <c r="P86" s="796" t="str">
        <f t="shared" si="74"/>
        <v>2. Medium</v>
      </c>
      <c r="Q86" s="797" t="s">
        <v>828</v>
      </c>
      <c r="R86" s="432" t="s">
        <v>276</v>
      </c>
      <c r="S86" s="793" t="s">
        <v>230</v>
      </c>
      <c r="T86" s="365" t="str">
        <f t="shared" si="75"/>
        <v>Covered</v>
      </c>
      <c r="U86" s="437">
        <v>42735</v>
      </c>
      <c r="V86" s="784" t="s">
        <v>252</v>
      </c>
      <c r="W86" s="363" t="str">
        <f t="shared" si="76"/>
        <v>Documented</v>
      </c>
      <c r="X86" s="441">
        <v>0</v>
      </c>
      <c r="Y86" s="431">
        <v>0</v>
      </c>
      <c r="Z86" s="660" t="s">
        <v>19</v>
      </c>
      <c r="AA86" s="442" t="s">
        <v>19</v>
      </c>
      <c r="AB86" s="441">
        <v>0</v>
      </c>
      <c r="AC86" s="447">
        <v>0</v>
      </c>
      <c r="AD86" s="831">
        <v>14568</v>
      </c>
      <c r="AE86" s="454">
        <v>0</v>
      </c>
      <c r="AF86" s="463">
        <v>1</v>
      </c>
      <c r="AG86" s="455"/>
      <c r="AH86" s="368">
        <f t="shared" si="77"/>
        <v>1</v>
      </c>
      <c r="AI86" s="346">
        <f t="shared" si="78"/>
        <v>620</v>
      </c>
      <c r="AJ86" s="347">
        <f t="shared" si="79"/>
        <v>1</v>
      </c>
      <c r="AK86" s="348">
        <f t="shared" si="80"/>
        <v>620</v>
      </c>
      <c r="AL86" s="345">
        <f t="shared" si="81"/>
        <v>1</v>
      </c>
      <c r="AM86" s="348">
        <f t="shared" si="82"/>
        <v>620</v>
      </c>
      <c r="AN86" s="349" t="str">
        <f t="shared" si="83"/>
        <v>80-100%</v>
      </c>
      <c r="AO86" s="345">
        <f t="shared" si="84"/>
        <v>0</v>
      </c>
      <c r="AP86" s="350">
        <f t="shared" si="85"/>
        <v>0</v>
      </c>
      <c r="AQ86" s="348">
        <f t="shared" si="86"/>
        <v>1.55</v>
      </c>
      <c r="AR86" s="348">
        <f t="shared" si="87"/>
        <v>115</v>
      </c>
      <c r="AS86" s="348">
        <f t="shared" si="88"/>
        <v>0</v>
      </c>
      <c r="AT86" s="458">
        <v>1</v>
      </c>
      <c r="AU86" s="459">
        <f t="shared" si="89"/>
        <v>620</v>
      </c>
      <c r="AV86" s="448" t="s">
        <v>777</v>
      </c>
      <c r="AW86" s="813">
        <v>2</v>
      </c>
      <c r="AX86" s="443">
        <v>60</v>
      </c>
      <c r="AY86" s="433"/>
      <c r="AZ86" s="433">
        <v>37</v>
      </c>
      <c r="BA86" s="433" t="s">
        <v>888</v>
      </c>
      <c r="BB86" s="442" t="s">
        <v>89</v>
      </c>
      <c r="BC86" s="810">
        <f t="shared" si="90"/>
        <v>1</v>
      </c>
      <c r="BD86" s="348">
        <f t="shared" si="91"/>
        <v>620</v>
      </c>
      <c r="BE86" s="351">
        <f t="shared" si="92"/>
        <v>0</v>
      </c>
      <c r="BF86" s="348">
        <f t="shared" si="93"/>
        <v>0</v>
      </c>
      <c r="BG86" s="351">
        <f t="shared" si="94"/>
        <v>1</v>
      </c>
      <c r="BH86" s="348">
        <f t="shared" si="95"/>
        <v>620</v>
      </c>
      <c r="BI86" s="447">
        <v>0</v>
      </c>
      <c r="BJ86" s="463">
        <v>1</v>
      </c>
      <c r="BK86" s="352">
        <f t="shared" si="110"/>
        <v>620</v>
      </c>
      <c r="BL86" s="353">
        <f t="shared" si="111"/>
        <v>0</v>
      </c>
      <c r="BM86" s="431">
        <v>4</v>
      </c>
      <c r="BN86" s="431" t="s">
        <v>290</v>
      </c>
      <c r="BO86" s="351">
        <f t="shared" si="97"/>
        <v>0.64516129032258063</v>
      </c>
      <c r="BP86" s="348">
        <f t="shared" si="98"/>
        <v>400</v>
      </c>
      <c r="BQ86" s="353">
        <f t="shared" si="99"/>
        <v>1.9500000000000002</v>
      </c>
      <c r="BR86" s="463">
        <v>0.66</v>
      </c>
      <c r="BS86" s="348">
        <f t="shared" si="100"/>
        <v>409.20000000000005</v>
      </c>
      <c r="BT86" s="431">
        <v>7</v>
      </c>
      <c r="BU86" s="351">
        <f t="shared" si="101"/>
        <v>1</v>
      </c>
      <c r="BV86" s="353">
        <f t="shared" si="102"/>
        <v>0</v>
      </c>
      <c r="BW86" s="451">
        <v>1</v>
      </c>
      <c r="BX86" s="473"/>
      <c r="BY86" s="475">
        <v>42341</v>
      </c>
      <c r="BZ86" s="663" t="s">
        <v>819</v>
      </c>
      <c r="CA86" s="666">
        <v>0</v>
      </c>
      <c r="CB86" s="354">
        <f t="shared" si="103"/>
        <v>42706</v>
      </c>
      <c r="CC86" s="431">
        <v>117</v>
      </c>
      <c r="CD86" s="431">
        <v>3</v>
      </c>
      <c r="CE86" s="355">
        <f t="shared" si="104"/>
        <v>0</v>
      </c>
      <c r="CF86" s="356">
        <f t="shared" si="105"/>
        <v>1</v>
      </c>
      <c r="CG86" s="348">
        <f t="shared" si="106"/>
        <v>620</v>
      </c>
      <c r="CH86" s="370">
        <f t="shared" si="107"/>
        <v>0</v>
      </c>
      <c r="CI86" s="441"/>
      <c r="CJ86" s="451">
        <v>1</v>
      </c>
      <c r="CK86" s="372">
        <f t="shared" si="112"/>
        <v>620</v>
      </c>
      <c r="CL86" s="441">
        <v>0</v>
      </c>
      <c r="CM86" s="357" t="str">
        <f t="shared" si="109"/>
        <v>No coverage</v>
      </c>
      <c r="CN86" s="447">
        <v>0</v>
      </c>
      <c r="CO86" s="753" t="s">
        <v>65</v>
      </c>
      <c r="CP86" s="482"/>
    </row>
    <row r="87" spans="2:94" s="36" customFormat="1" ht="30.75" customHeight="1" x14ac:dyDescent="0.2">
      <c r="B87" s="438" t="s">
        <v>183</v>
      </c>
      <c r="C87" s="430" t="s">
        <v>554</v>
      </c>
      <c r="D87" s="430" t="s">
        <v>260</v>
      </c>
      <c r="E87" s="430" t="s">
        <v>185</v>
      </c>
      <c r="F87" s="430">
        <v>97.573166999999998</v>
      </c>
      <c r="G87" s="430">
        <v>24.661466999999998</v>
      </c>
      <c r="H87" s="430" t="s">
        <v>442</v>
      </c>
      <c r="I87" s="430" t="s">
        <v>221</v>
      </c>
      <c r="J87" s="430" t="s">
        <v>814</v>
      </c>
      <c r="K87" s="430" t="s">
        <v>800</v>
      </c>
      <c r="L87" s="722">
        <v>659</v>
      </c>
      <c r="M87" s="722">
        <v>3194</v>
      </c>
      <c r="N87" s="639">
        <v>2900</v>
      </c>
      <c r="O87" s="789">
        <v>2900</v>
      </c>
      <c r="P87" s="796" t="str">
        <f t="shared" si="74"/>
        <v>4. Big</v>
      </c>
      <c r="Q87" s="797" t="s">
        <v>927</v>
      </c>
      <c r="R87" s="432" t="s">
        <v>276</v>
      </c>
      <c r="S87" s="793" t="s">
        <v>232</v>
      </c>
      <c r="T87" s="365" t="str">
        <f t="shared" si="75"/>
        <v>Covered</v>
      </c>
      <c r="U87" s="437">
        <v>42521</v>
      </c>
      <c r="V87" s="784" t="s">
        <v>252</v>
      </c>
      <c r="W87" s="363" t="str">
        <f t="shared" si="76"/>
        <v>Documented</v>
      </c>
      <c r="X87" s="441">
        <v>0</v>
      </c>
      <c r="Y87" s="431">
        <v>0</v>
      </c>
      <c r="Z87" s="660" t="s">
        <v>19</v>
      </c>
      <c r="AA87" s="442" t="s">
        <v>19</v>
      </c>
      <c r="AB87" s="441">
        <v>3</v>
      </c>
      <c r="AC87" s="447">
        <v>0</v>
      </c>
      <c r="AD87" s="831">
        <v>34155</v>
      </c>
      <c r="AE87" s="454">
        <v>0</v>
      </c>
      <c r="AF87" s="463">
        <v>1</v>
      </c>
      <c r="AG87" s="455" t="s">
        <v>831</v>
      </c>
      <c r="AH87" s="368">
        <f t="shared" si="77"/>
        <v>1</v>
      </c>
      <c r="AI87" s="346">
        <f t="shared" si="78"/>
        <v>2900</v>
      </c>
      <c r="AJ87" s="347">
        <f t="shared" si="79"/>
        <v>1</v>
      </c>
      <c r="AK87" s="348">
        <f t="shared" si="80"/>
        <v>2900</v>
      </c>
      <c r="AL87" s="345">
        <f t="shared" si="81"/>
        <v>1</v>
      </c>
      <c r="AM87" s="348">
        <f t="shared" si="82"/>
        <v>2900</v>
      </c>
      <c r="AN87" s="349" t="str">
        <f t="shared" si="83"/>
        <v>80-100%</v>
      </c>
      <c r="AO87" s="345">
        <f t="shared" si="84"/>
        <v>0</v>
      </c>
      <c r="AP87" s="350">
        <f t="shared" si="85"/>
        <v>0</v>
      </c>
      <c r="AQ87" s="348">
        <f t="shared" si="86"/>
        <v>4.25</v>
      </c>
      <c r="AR87" s="348">
        <f t="shared" si="87"/>
        <v>659</v>
      </c>
      <c r="AS87" s="348">
        <f t="shared" si="88"/>
        <v>0</v>
      </c>
      <c r="AT87" s="458">
        <v>1</v>
      </c>
      <c r="AU87" s="459">
        <f t="shared" si="89"/>
        <v>2900</v>
      </c>
      <c r="AV87" s="448"/>
      <c r="AW87" s="813">
        <v>8</v>
      </c>
      <c r="AX87" s="443">
        <v>74</v>
      </c>
      <c r="AY87" s="433">
        <v>0</v>
      </c>
      <c r="AZ87" s="433">
        <v>302</v>
      </c>
      <c r="BA87" s="433" t="s">
        <v>889</v>
      </c>
      <c r="BB87" s="442" t="s">
        <v>289</v>
      </c>
      <c r="BC87" s="810">
        <f t="shared" si="90"/>
        <v>1</v>
      </c>
      <c r="BD87" s="348">
        <f t="shared" si="91"/>
        <v>2900</v>
      </c>
      <c r="BE87" s="351">
        <f t="shared" si="92"/>
        <v>0</v>
      </c>
      <c r="BF87" s="348">
        <f t="shared" si="93"/>
        <v>0</v>
      </c>
      <c r="BG87" s="351">
        <f t="shared" si="94"/>
        <v>1</v>
      </c>
      <c r="BH87" s="348">
        <f t="shared" si="95"/>
        <v>2900</v>
      </c>
      <c r="BI87" s="447">
        <v>0</v>
      </c>
      <c r="BJ87" s="463">
        <v>1</v>
      </c>
      <c r="BK87" s="352">
        <f t="shared" si="110"/>
        <v>2900</v>
      </c>
      <c r="BL87" s="353">
        <f t="shared" si="111"/>
        <v>0</v>
      </c>
      <c r="BM87" s="431">
        <v>20</v>
      </c>
      <c r="BN87" s="431" t="s">
        <v>290</v>
      </c>
      <c r="BO87" s="351">
        <f t="shared" si="97"/>
        <v>0.68965517241379315</v>
      </c>
      <c r="BP87" s="348">
        <f t="shared" si="98"/>
        <v>2000.0000000000002</v>
      </c>
      <c r="BQ87" s="353">
        <f t="shared" si="99"/>
        <v>11.940000000000001</v>
      </c>
      <c r="BR87" s="463">
        <v>0.69</v>
      </c>
      <c r="BS87" s="348">
        <f t="shared" si="100"/>
        <v>2000.9999999999998</v>
      </c>
      <c r="BT87" s="431">
        <v>50</v>
      </c>
      <c r="BU87" s="351">
        <f t="shared" si="101"/>
        <v>1</v>
      </c>
      <c r="BV87" s="353">
        <f t="shared" si="102"/>
        <v>0</v>
      </c>
      <c r="BW87" s="451">
        <v>1</v>
      </c>
      <c r="BX87" s="473"/>
      <c r="BY87" s="475"/>
      <c r="BZ87" s="663"/>
      <c r="CA87" s="666"/>
      <c r="CB87" s="354" t="str">
        <f t="shared" si="103"/>
        <v>To be realised</v>
      </c>
      <c r="CC87" s="431">
        <v>479</v>
      </c>
      <c r="CD87" s="431">
        <v>19</v>
      </c>
      <c r="CE87" s="355">
        <f t="shared" si="104"/>
        <v>659</v>
      </c>
      <c r="CF87" s="356">
        <f t="shared" si="105"/>
        <v>0</v>
      </c>
      <c r="CG87" s="348">
        <f t="shared" si="106"/>
        <v>0</v>
      </c>
      <c r="CH87" s="370" t="str">
        <f t="shared" si="107"/>
        <v>Column BN to be completed</v>
      </c>
      <c r="CI87" s="441" t="s">
        <v>865</v>
      </c>
      <c r="CJ87" s="451">
        <v>0.5</v>
      </c>
      <c r="CK87" s="372">
        <f t="shared" si="112"/>
        <v>1450</v>
      </c>
      <c r="CL87" s="441">
        <v>0</v>
      </c>
      <c r="CM87" s="357" t="str">
        <f t="shared" si="109"/>
        <v>No coverage</v>
      </c>
      <c r="CN87" s="447">
        <v>1</v>
      </c>
      <c r="CO87" s="753" t="s">
        <v>65</v>
      </c>
      <c r="CP87" s="482"/>
    </row>
    <row r="88" spans="2:94" s="36" customFormat="1" ht="30.75" customHeight="1" x14ac:dyDescent="0.2">
      <c r="B88" s="438" t="s">
        <v>183</v>
      </c>
      <c r="C88" s="430" t="s">
        <v>555</v>
      </c>
      <c r="D88" s="430" t="s">
        <v>260</v>
      </c>
      <c r="E88" s="430" t="s">
        <v>198</v>
      </c>
      <c r="F88" s="430">
        <v>97.568282999999994</v>
      </c>
      <c r="G88" s="430">
        <v>24.688167</v>
      </c>
      <c r="H88" s="430" t="s">
        <v>442</v>
      </c>
      <c r="I88" s="430" t="s">
        <v>221</v>
      </c>
      <c r="J88" s="430" t="s">
        <v>814</v>
      </c>
      <c r="K88" s="430" t="s">
        <v>800</v>
      </c>
      <c r="L88" s="722">
        <v>1563</v>
      </c>
      <c r="M88" s="722">
        <v>8037</v>
      </c>
      <c r="N88" s="639">
        <v>7247</v>
      </c>
      <c r="O88" s="789">
        <v>7852</v>
      </c>
      <c r="P88" s="796" t="str">
        <f t="shared" si="74"/>
        <v>5. Massive</v>
      </c>
      <c r="Q88" s="797" t="s">
        <v>322</v>
      </c>
      <c r="R88" s="432" t="s">
        <v>230</v>
      </c>
      <c r="S88" s="793" t="s">
        <v>234</v>
      </c>
      <c r="T88" s="365" t="str">
        <f t="shared" si="75"/>
        <v>Covered</v>
      </c>
      <c r="U88" s="437">
        <v>42521</v>
      </c>
      <c r="V88" s="784" t="s">
        <v>252</v>
      </c>
      <c r="W88" s="363" t="str">
        <f t="shared" si="76"/>
        <v>Documented</v>
      </c>
      <c r="X88" s="441">
        <v>0</v>
      </c>
      <c r="Y88" s="431">
        <v>0</v>
      </c>
      <c r="Z88" s="660" t="s">
        <v>19</v>
      </c>
      <c r="AA88" s="442" t="s">
        <v>19</v>
      </c>
      <c r="AB88" s="441">
        <v>5</v>
      </c>
      <c r="AC88" s="447">
        <v>0</v>
      </c>
      <c r="AD88" s="833">
        <v>252973</v>
      </c>
      <c r="AE88" s="454">
        <v>0</v>
      </c>
      <c r="AF88" s="463">
        <v>0.4</v>
      </c>
      <c r="AG88" s="455" t="s">
        <v>830</v>
      </c>
      <c r="AH88" s="368">
        <f t="shared" si="77"/>
        <v>1</v>
      </c>
      <c r="AI88" s="346">
        <f t="shared" si="78"/>
        <v>7852</v>
      </c>
      <c r="AJ88" s="347">
        <f t="shared" si="79"/>
        <v>1</v>
      </c>
      <c r="AK88" s="348">
        <f t="shared" si="80"/>
        <v>7852</v>
      </c>
      <c r="AL88" s="345">
        <f t="shared" si="81"/>
        <v>1</v>
      </c>
      <c r="AM88" s="348">
        <f t="shared" si="82"/>
        <v>7852</v>
      </c>
      <c r="AN88" s="349" t="str">
        <f t="shared" si="83"/>
        <v>80-100%</v>
      </c>
      <c r="AO88" s="345">
        <f t="shared" si="84"/>
        <v>0</v>
      </c>
      <c r="AP88" s="350">
        <f t="shared" si="85"/>
        <v>0</v>
      </c>
      <c r="AQ88" s="348">
        <f t="shared" si="86"/>
        <v>14.629999999999999</v>
      </c>
      <c r="AR88" s="348">
        <f t="shared" si="87"/>
        <v>625.20000000000005</v>
      </c>
      <c r="AS88" s="348">
        <f t="shared" si="88"/>
        <v>0</v>
      </c>
      <c r="AT88" s="458">
        <v>1</v>
      </c>
      <c r="AU88" s="459">
        <f t="shared" si="89"/>
        <v>7852</v>
      </c>
      <c r="AV88" s="448" t="s">
        <v>940</v>
      </c>
      <c r="AW88" s="813">
        <v>0</v>
      </c>
      <c r="AX88" s="443">
        <v>17</v>
      </c>
      <c r="AY88" s="433"/>
      <c r="AZ88" s="433">
        <v>463</v>
      </c>
      <c r="BA88" s="433" t="s">
        <v>891</v>
      </c>
      <c r="BB88" s="442" t="s">
        <v>289</v>
      </c>
      <c r="BC88" s="810">
        <f t="shared" si="90"/>
        <v>1</v>
      </c>
      <c r="BD88" s="348">
        <f t="shared" si="91"/>
        <v>7852</v>
      </c>
      <c r="BE88" s="351">
        <f t="shared" si="92"/>
        <v>0</v>
      </c>
      <c r="BF88" s="348">
        <f t="shared" si="93"/>
        <v>0</v>
      </c>
      <c r="BG88" s="351">
        <f t="shared" si="94"/>
        <v>1</v>
      </c>
      <c r="BH88" s="348">
        <f t="shared" si="95"/>
        <v>7852</v>
      </c>
      <c r="BI88" s="447">
        <v>0</v>
      </c>
      <c r="BJ88" s="463">
        <v>1</v>
      </c>
      <c r="BK88" s="352">
        <f t="shared" si="110"/>
        <v>7852</v>
      </c>
      <c r="BL88" s="353">
        <f t="shared" si="111"/>
        <v>0</v>
      </c>
      <c r="BM88" s="431">
        <v>50</v>
      </c>
      <c r="BN88" s="431" t="s">
        <v>89</v>
      </c>
      <c r="BO88" s="351">
        <f t="shared" si="97"/>
        <v>0.63678043810494145</v>
      </c>
      <c r="BP88" s="348">
        <f t="shared" si="98"/>
        <v>5000</v>
      </c>
      <c r="BQ88" s="353">
        <f t="shared" si="99"/>
        <v>30.370000000000005</v>
      </c>
      <c r="BR88" s="463">
        <v>0.64</v>
      </c>
      <c r="BS88" s="348">
        <f t="shared" si="100"/>
        <v>5025.28</v>
      </c>
      <c r="BT88" s="431">
        <v>101</v>
      </c>
      <c r="BU88" s="351">
        <f t="shared" si="101"/>
        <v>1</v>
      </c>
      <c r="BV88" s="353">
        <f t="shared" si="102"/>
        <v>0</v>
      </c>
      <c r="BW88" s="451">
        <v>1</v>
      </c>
      <c r="BX88" s="473"/>
      <c r="BY88" s="475">
        <v>42423</v>
      </c>
      <c r="BZ88" s="663" t="s">
        <v>821</v>
      </c>
      <c r="CA88" s="666">
        <v>0</v>
      </c>
      <c r="CB88" s="354">
        <f t="shared" si="103"/>
        <v>42788</v>
      </c>
      <c r="CC88" s="431">
        <v>1386.5</v>
      </c>
      <c r="CD88" s="431">
        <v>9</v>
      </c>
      <c r="CE88" s="355">
        <f t="shared" si="104"/>
        <v>176.5</v>
      </c>
      <c r="CF88" s="356">
        <f t="shared" si="105"/>
        <v>0.88707613563659626</v>
      </c>
      <c r="CG88" s="348">
        <f t="shared" si="106"/>
        <v>6965.3218170185537</v>
      </c>
      <c r="CH88" s="370">
        <f t="shared" si="107"/>
        <v>0</v>
      </c>
      <c r="CI88" s="441"/>
      <c r="CJ88" s="451">
        <v>1</v>
      </c>
      <c r="CK88" s="372">
        <f t="shared" si="112"/>
        <v>7852</v>
      </c>
      <c r="CL88" s="441">
        <v>24</v>
      </c>
      <c r="CM88" s="357" t="str">
        <f t="shared" si="109"/>
        <v>Excellent coverage</v>
      </c>
      <c r="CN88" s="447">
        <v>0</v>
      </c>
      <c r="CO88" s="753" t="s">
        <v>65</v>
      </c>
      <c r="CP88" s="482"/>
    </row>
    <row r="89" spans="2:94" s="36" customFormat="1" ht="30.75" customHeight="1" x14ac:dyDescent="0.2">
      <c r="B89" s="438" t="s">
        <v>183</v>
      </c>
      <c r="C89" s="430" t="s">
        <v>564</v>
      </c>
      <c r="D89" s="430" t="s">
        <v>259</v>
      </c>
      <c r="E89" s="430" t="s">
        <v>456</v>
      </c>
      <c r="F89" s="430">
        <v>97.346310000000003</v>
      </c>
      <c r="G89" s="430">
        <v>24.253630000000001</v>
      </c>
      <c r="H89" s="430" t="s">
        <v>442</v>
      </c>
      <c r="I89" s="430" t="s">
        <v>213</v>
      </c>
      <c r="J89" s="430" t="s">
        <v>812</v>
      </c>
      <c r="K89" s="430" t="s">
        <v>800</v>
      </c>
      <c r="L89" s="722">
        <v>23</v>
      </c>
      <c r="M89" s="722">
        <v>113</v>
      </c>
      <c r="N89" s="639">
        <v>113</v>
      </c>
      <c r="O89" s="789">
        <v>113</v>
      </c>
      <c r="P89" s="796" t="str">
        <f t="shared" si="74"/>
        <v>1. Small</v>
      </c>
      <c r="Q89" s="797" t="s">
        <v>937</v>
      </c>
      <c r="R89" s="432" t="s">
        <v>234</v>
      </c>
      <c r="S89" s="793" t="s">
        <v>232</v>
      </c>
      <c r="T89" s="365" t="str">
        <f t="shared" si="75"/>
        <v>Covered</v>
      </c>
      <c r="U89" s="437">
        <v>42521</v>
      </c>
      <c r="V89" s="784" t="s">
        <v>252</v>
      </c>
      <c r="W89" s="363" t="str">
        <f t="shared" si="76"/>
        <v>Documented</v>
      </c>
      <c r="X89" s="441">
        <v>0</v>
      </c>
      <c r="Y89" s="431">
        <v>0</v>
      </c>
      <c r="Z89" s="660" t="s">
        <v>19</v>
      </c>
      <c r="AA89" s="442" t="s">
        <v>19</v>
      </c>
      <c r="AB89" s="441">
        <v>1</v>
      </c>
      <c r="AC89" s="447">
        <v>0</v>
      </c>
      <c r="AD89" s="831">
        <v>2000</v>
      </c>
      <c r="AE89" s="454">
        <v>0</v>
      </c>
      <c r="AF89" s="463">
        <v>0</v>
      </c>
      <c r="AG89" s="455"/>
      <c r="AH89" s="368">
        <f t="shared" si="77"/>
        <v>1</v>
      </c>
      <c r="AI89" s="346">
        <f t="shared" si="78"/>
        <v>113</v>
      </c>
      <c r="AJ89" s="347">
        <f t="shared" si="79"/>
        <v>1</v>
      </c>
      <c r="AK89" s="348">
        <f t="shared" si="80"/>
        <v>113</v>
      </c>
      <c r="AL89" s="345">
        <f t="shared" si="81"/>
        <v>1</v>
      </c>
      <c r="AM89" s="348">
        <f t="shared" si="82"/>
        <v>113</v>
      </c>
      <c r="AN89" s="349" t="str">
        <f t="shared" si="83"/>
        <v>80-100%</v>
      </c>
      <c r="AO89" s="345">
        <f t="shared" si="84"/>
        <v>0</v>
      </c>
      <c r="AP89" s="350">
        <f t="shared" si="85"/>
        <v>0</v>
      </c>
      <c r="AQ89" s="348">
        <f t="shared" si="86"/>
        <v>0</v>
      </c>
      <c r="AR89" s="348">
        <f t="shared" si="87"/>
        <v>0</v>
      </c>
      <c r="AS89" s="348">
        <f t="shared" si="88"/>
        <v>0</v>
      </c>
      <c r="AT89" s="458">
        <v>1</v>
      </c>
      <c r="AU89" s="459">
        <f t="shared" si="89"/>
        <v>113</v>
      </c>
      <c r="AV89" s="448"/>
      <c r="AW89" s="813">
        <v>34</v>
      </c>
      <c r="AX89" s="443">
        <v>0</v>
      </c>
      <c r="AY89" s="433"/>
      <c r="AZ89" s="433">
        <v>4</v>
      </c>
      <c r="BA89" s="433" t="s">
        <v>888</v>
      </c>
      <c r="BB89" s="442" t="s">
        <v>89</v>
      </c>
      <c r="BC89" s="810">
        <f t="shared" si="90"/>
        <v>0.70796460176991149</v>
      </c>
      <c r="BD89" s="348">
        <f t="shared" si="91"/>
        <v>80</v>
      </c>
      <c r="BE89" s="351">
        <f t="shared" si="92"/>
        <v>0</v>
      </c>
      <c r="BF89" s="348">
        <f t="shared" si="93"/>
        <v>0</v>
      </c>
      <c r="BG89" s="351">
        <f t="shared" si="94"/>
        <v>0.70796460176991149</v>
      </c>
      <c r="BH89" s="348">
        <f t="shared" si="95"/>
        <v>80</v>
      </c>
      <c r="BI89" s="447">
        <v>0</v>
      </c>
      <c r="BJ89" s="463">
        <v>1</v>
      </c>
      <c r="BK89" s="352">
        <f t="shared" si="110"/>
        <v>113</v>
      </c>
      <c r="BL89" s="353">
        <f t="shared" si="111"/>
        <v>1.6500000000000004</v>
      </c>
      <c r="BM89" s="431">
        <v>2</v>
      </c>
      <c r="BN89" s="431" t="s">
        <v>89</v>
      </c>
      <c r="BO89" s="351">
        <f t="shared" si="97"/>
        <v>1</v>
      </c>
      <c r="BP89" s="348">
        <f t="shared" si="98"/>
        <v>113</v>
      </c>
      <c r="BQ89" s="353">
        <f t="shared" si="99"/>
        <v>0</v>
      </c>
      <c r="BR89" s="463">
        <v>1</v>
      </c>
      <c r="BS89" s="348">
        <f t="shared" si="100"/>
        <v>113</v>
      </c>
      <c r="BT89" s="431">
        <v>2</v>
      </c>
      <c r="BU89" s="351">
        <f t="shared" si="101"/>
        <v>1</v>
      </c>
      <c r="BV89" s="353">
        <f t="shared" si="102"/>
        <v>0</v>
      </c>
      <c r="BW89" s="451">
        <v>1</v>
      </c>
      <c r="BX89" s="473"/>
      <c r="BY89" s="475">
        <v>41771</v>
      </c>
      <c r="BZ89" s="663" t="s">
        <v>821</v>
      </c>
      <c r="CA89" s="666">
        <v>0</v>
      </c>
      <c r="CB89" s="354" t="str">
        <f t="shared" si="103"/>
        <v>To be realised</v>
      </c>
      <c r="CC89" s="431">
        <v>23</v>
      </c>
      <c r="CD89" s="431">
        <v>10</v>
      </c>
      <c r="CE89" s="355">
        <f t="shared" si="104"/>
        <v>23</v>
      </c>
      <c r="CF89" s="356">
        <f t="shared" si="105"/>
        <v>0</v>
      </c>
      <c r="CG89" s="348">
        <f t="shared" si="106"/>
        <v>0</v>
      </c>
      <c r="CH89" s="370">
        <f t="shared" si="107"/>
        <v>11</v>
      </c>
      <c r="CI89" s="441"/>
      <c r="CJ89" s="451">
        <v>0.75</v>
      </c>
      <c r="CK89" s="372">
        <f t="shared" si="112"/>
        <v>84.75</v>
      </c>
      <c r="CL89" s="441">
        <v>1</v>
      </c>
      <c r="CM89" s="357" t="str">
        <f t="shared" si="109"/>
        <v>Excellent coverage</v>
      </c>
      <c r="CN89" s="447">
        <v>0</v>
      </c>
      <c r="CO89" s="753" t="s">
        <v>65</v>
      </c>
      <c r="CP89" s="482"/>
    </row>
    <row r="90" spans="2:94" s="36" customFormat="1" ht="30.75" customHeight="1" x14ac:dyDescent="0.2">
      <c r="B90" s="438" t="s">
        <v>183</v>
      </c>
      <c r="C90" s="430" t="s">
        <v>564</v>
      </c>
      <c r="D90" s="430" t="s">
        <v>259</v>
      </c>
      <c r="E90" s="430" t="s">
        <v>457</v>
      </c>
      <c r="F90" s="430">
        <v>97.359300000000005</v>
      </c>
      <c r="G90" s="430">
        <v>24.267040000000001</v>
      </c>
      <c r="H90" s="430" t="s">
        <v>442</v>
      </c>
      <c r="I90" s="430" t="s">
        <v>213</v>
      </c>
      <c r="J90" s="430" t="s">
        <v>812</v>
      </c>
      <c r="K90" s="430" t="s">
        <v>800</v>
      </c>
      <c r="L90" s="722">
        <v>8</v>
      </c>
      <c r="M90" s="722">
        <v>39</v>
      </c>
      <c r="N90" s="639">
        <v>39</v>
      </c>
      <c r="O90" s="789">
        <v>39</v>
      </c>
      <c r="P90" s="796" t="str">
        <f t="shared" si="74"/>
        <v>1. Small</v>
      </c>
      <c r="Q90" s="797" t="s">
        <v>937</v>
      </c>
      <c r="R90" s="432" t="s">
        <v>234</v>
      </c>
      <c r="S90" s="793" t="s">
        <v>232</v>
      </c>
      <c r="T90" s="365" t="str">
        <f t="shared" si="75"/>
        <v>Covered</v>
      </c>
      <c r="U90" s="437">
        <v>42521</v>
      </c>
      <c r="V90" s="784" t="s">
        <v>252</v>
      </c>
      <c r="W90" s="363" t="str">
        <f t="shared" si="76"/>
        <v>Documented</v>
      </c>
      <c r="X90" s="441">
        <v>0</v>
      </c>
      <c r="Y90" s="431">
        <v>0</v>
      </c>
      <c r="Z90" s="660" t="s">
        <v>19</v>
      </c>
      <c r="AA90" s="442" t="s">
        <v>19</v>
      </c>
      <c r="AB90" s="441">
        <v>0</v>
      </c>
      <c r="AC90" s="447">
        <v>0</v>
      </c>
      <c r="AD90" s="831">
        <v>1080</v>
      </c>
      <c r="AE90" s="454">
        <v>0</v>
      </c>
      <c r="AF90" s="463">
        <v>0</v>
      </c>
      <c r="AG90" s="455"/>
      <c r="AH90" s="368">
        <f t="shared" si="77"/>
        <v>1</v>
      </c>
      <c r="AI90" s="346">
        <f t="shared" si="78"/>
        <v>39</v>
      </c>
      <c r="AJ90" s="347">
        <f t="shared" si="79"/>
        <v>1</v>
      </c>
      <c r="AK90" s="348">
        <f t="shared" si="80"/>
        <v>39</v>
      </c>
      <c r="AL90" s="345">
        <f t="shared" si="81"/>
        <v>1</v>
      </c>
      <c r="AM90" s="348">
        <f t="shared" si="82"/>
        <v>39</v>
      </c>
      <c r="AN90" s="349" t="str">
        <f t="shared" si="83"/>
        <v>80-100%</v>
      </c>
      <c r="AO90" s="345">
        <f t="shared" si="84"/>
        <v>0</v>
      </c>
      <c r="AP90" s="350">
        <f t="shared" si="85"/>
        <v>0</v>
      </c>
      <c r="AQ90" s="348">
        <f t="shared" si="86"/>
        <v>9.7500000000000003E-2</v>
      </c>
      <c r="AR90" s="348">
        <f t="shared" si="87"/>
        <v>0</v>
      </c>
      <c r="AS90" s="348">
        <f t="shared" si="88"/>
        <v>0</v>
      </c>
      <c r="AT90" s="458">
        <v>1</v>
      </c>
      <c r="AU90" s="459">
        <f t="shared" si="89"/>
        <v>39</v>
      </c>
      <c r="AV90" s="448"/>
      <c r="AW90" s="813">
        <v>30</v>
      </c>
      <c r="AX90" s="443">
        <v>2</v>
      </c>
      <c r="AY90" s="433"/>
      <c r="AZ90" s="433">
        <v>1</v>
      </c>
      <c r="BA90" s="433" t="s">
        <v>888</v>
      </c>
      <c r="BB90" s="442" t="s">
        <v>289</v>
      </c>
      <c r="BC90" s="810">
        <f t="shared" si="90"/>
        <v>1</v>
      </c>
      <c r="BD90" s="348">
        <f t="shared" si="91"/>
        <v>39</v>
      </c>
      <c r="BE90" s="351">
        <f t="shared" si="92"/>
        <v>0.48717948717948723</v>
      </c>
      <c r="BF90" s="348">
        <f t="shared" si="93"/>
        <v>19</v>
      </c>
      <c r="BG90" s="351">
        <f t="shared" si="94"/>
        <v>0.51282051282051277</v>
      </c>
      <c r="BH90" s="348">
        <f t="shared" si="95"/>
        <v>20</v>
      </c>
      <c r="BI90" s="447">
        <v>0</v>
      </c>
      <c r="BJ90" s="463">
        <v>1</v>
      </c>
      <c r="BK90" s="352">
        <f t="shared" si="110"/>
        <v>39</v>
      </c>
      <c r="BL90" s="353">
        <f t="shared" si="111"/>
        <v>0.95</v>
      </c>
      <c r="BM90" s="431">
        <v>1</v>
      </c>
      <c r="BN90" s="431" t="s">
        <v>89</v>
      </c>
      <c r="BO90" s="351">
        <f t="shared" si="97"/>
        <v>1</v>
      </c>
      <c r="BP90" s="348">
        <f t="shared" si="98"/>
        <v>39</v>
      </c>
      <c r="BQ90" s="353">
        <f t="shared" si="99"/>
        <v>0</v>
      </c>
      <c r="BR90" s="463">
        <v>1</v>
      </c>
      <c r="BS90" s="348">
        <f t="shared" si="100"/>
        <v>39</v>
      </c>
      <c r="BT90" s="431">
        <v>1</v>
      </c>
      <c r="BU90" s="351">
        <f t="shared" si="101"/>
        <v>1</v>
      </c>
      <c r="BV90" s="353">
        <f t="shared" si="102"/>
        <v>0</v>
      </c>
      <c r="BW90" s="451">
        <v>1</v>
      </c>
      <c r="BX90" s="473"/>
      <c r="BY90" s="475">
        <v>41768</v>
      </c>
      <c r="BZ90" s="663" t="s">
        <v>821</v>
      </c>
      <c r="CA90" s="666">
        <v>0</v>
      </c>
      <c r="CB90" s="354" t="str">
        <f t="shared" si="103"/>
        <v>To be realised</v>
      </c>
      <c r="CC90" s="431">
        <v>7</v>
      </c>
      <c r="CD90" s="431">
        <v>10</v>
      </c>
      <c r="CE90" s="355">
        <f t="shared" si="104"/>
        <v>8</v>
      </c>
      <c r="CF90" s="356">
        <f t="shared" si="105"/>
        <v>0</v>
      </c>
      <c r="CG90" s="348">
        <f t="shared" si="106"/>
        <v>0</v>
      </c>
      <c r="CH90" s="370">
        <f t="shared" si="107"/>
        <v>11</v>
      </c>
      <c r="CI90" s="441"/>
      <c r="CJ90" s="451">
        <v>0.85</v>
      </c>
      <c r="CK90" s="372">
        <f t="shared" si="112"/>
        <v>33.15</v>
      </c>
      <c r="CL90" s="441">
        <v>0</v>
      </c>
      <c r="CM90" s="357" t="str">
        <f t="shared" si="109"/>
        <v>No coverage</v>
      </c>
      <c r="CN90" s="447">
        <v>0</v>
      </c>
      <c r="CO90" s="753" t="s">
        <v>65</v>
      </c>
      <c r="CP90" s="482"/>
    </row>
    <row r="91" spans="2:94" s="36" customFormat="1" ht="30.75" customHeight="1" x14ac:dyDescent="0.25">
      <c r="B91" s="438" t="s">
        <v>183</v>
      </c>
      <c r="C91" s="430" t="s">
        <v>556</v>
      </c>
      <c r="D91" s="430" t="s">
        <v>259</v>
      </c>
      <c r="E91" s="430" t="s">
        <v>225</v>
      </c>
      <c r="F91" s="430">
        <v>97.193340000000006</v>
      </c>
      <c r="G91" s="430">
        <v>24.230450000000001</v>
      </c>
      <c r="H91" s="430" t="s">
        <v>453</v>
      </c>
      <c r="I91" s="430" t="s">
        <v>213</v>
      </c>
      <c r="J91" s="430" t="s">
        <v>814</v>
      </c>
      <c r="K91" s="430" t="s">
        <v>801</v>
      </c>
      <c r="L91" s="722">
        <v>4</v>
      </c>
      <c r="M91" s="722">
        <v>26</v>
      </c>
      <c r="N91" s="639">
        <v>26</v>
      </c>
      <c r="O91" s="789">
        <v>26</v>
      </c>
      <c r="P91" s="796" t="str">
        <f t="shared" si="74"/>
        <v>1. Small</v>
      </c>
      <c r="Q91" s="797"/>
      <c r="R91" s="434"/>
      <c r="S91" s="793" t="s">
        <v>299</v>
      </c>
      <c r="T91" s="365" t="str">
        <f t="shared" si="75"/>
        <v>Not covered</v>
      </c>
      <c r="U91" s="437" t="s">
        <v>619</v>
      </c>
      <c r="V91" s="783" t="s">
        <v>254</v>
      </c>
      <c r="W91" s="363" t="str">
        <f t="shared" si="76"/>
        <v>Not documented</v>
      </c>
      <c r="X91" s="441">
        <v>0</v>
      </c>
      <c r="Y91" s="431">
        <v>0</v>
      </c>
      <c r="Z91" s="660" t="s">
        <v>19</v>
      </c>
      <c r="AA91" s="444" t="s">
        <v>19</v>
      </c>
      <c r="AB91" s="443">
        <v>0</v>
      </c>
      <c r="AC91" s="433">
        <v>0</v>
      </c>
      <c r="AD91" s="832">
        <v>0</v>
      </c>
      <c r="AE91" s="452">
        <v>0</v>
      </c>
      <c r="AF91" s="461">
        <v>0</v>
      </c>
      <c r="AG91" s="453"/>
      <c r="AH91" s="368">
        <f t="shared" si="77"/>
        <v>0</v>
      </c>
      <c r="AI91" s="346">
        <f t="shared" si="78"/>
        <v>0</v>
      </c>
      <c r="AJ91" s="347">
        <f t="shared" si="79"/>
        <v>0</v>
      </c>
      <c r="AK91" s="348">
        <f t="shared" si="80"/>
        <v>0</v>
      </c>
      <c r="AL91" s="345">
        <f t="shared" si="81"/>
        <v>0</v>
      </c>
      <c r="AM91" s="348">
        <f t="shared" si="82"/>
        <v>0</v>
      </c>
      <c r="AN91" s="349" t="str">
        <f t="shared" si="83"/>
        <v>0-10%</v>
      </c>
      <c r="AO91" s="345">
        <f t="shared" si="84"/>
        <v>0</v>
      </c>
      <c r="AP91" s="350">
        <f t="shared" si="85"/>
        <v>0</v>
      </c>
      <c r="AQ91" s="348">
        <f t="shared" si="86"/>
        <v>6.5000000000000002E-2</v>
      </c>
      <c r="AR91" s="348">
        <f t="shared" si="87"/>
        <v>0</v>
      </c>
      <c r="AS91" s="348">
        <f t="shared" si="88"/>
        <v>0</v>
      </c>
      <c r="AT91" s="461">
        <v>0</v>
      </c>
      <c r="AU91" s="459">
        <f t="shared" si="89"/>
        <v>0</v>
      </c>
      <c r="AV91" s="448"/>
      <c r="AW91" s="812">
        <v>2</v>
      </c>
      <c r="AX91" s="443">
        <v>0</v>
      </c>
      <c r="AY91" s="433"/>
      <c r="AZ91" s="433">
        <v>0</v>
      </c>
      <c r="BA91" s="433" t="s">
        <v>888</v>
      </c>
      <c r="BB91" s="442" t="s">
        <v>289</v>
      </c>
      <c r="BC91" s="810">
        <f t="shared" si="90"/>
        <v>0</v>
      </c>
      <c r="BD91" s="348">
        <f t="shared" si="91"/>
        <v>0</v>
      </c>
      <c r="BE91" s="351">
        <f t="shared" si="92"/>
        <v>0</v>
      </c>
      <c r="BF91" s="348">
        <f t="shared" si="93"/>
        <v>0</v>
      </c>
      <c r="BG91" s="351">
        <f t="shared" si="94"/>
        <v>0</v>
      </c>
      <c r="BH91" s="348">
        <f t="shared" si="95"/>
        <v>0</v>
      </c>
      <c r="BI91" s="466">
        <v>0</v>
      </c>
      <c r="BJ91" s="461">
        <v>0</v>
      </c>
      <c r="BK91" s="352">
        <f t="shared" si="110"/>
        <v>0</v>
      </c>
      <c r="BL91" s="353">
        <f t="shared" si="111"/>
        <v>1.3</v>
      </c>
      <c r="BM91" s="433">
        <v>0</v>
      </c>
      <c r="BN91" s="433" t="s">
        <v>89</v>
      </c>
      <c r="BO91" s="351">
        <f t="shared" si="97"/>
        <v>0</v>
      </c>
      <c r="BP91" s="348">
        <f t="shared" si="98"/>
        <v>0</v>
      </c>
      <c r="BQ91" s="353">
        <f t="shared" si="99"/>
        <v>0.26</v>
      </c>
      <c r="BR91" s="467">
        <v>0</v>
      </c>
      <c r="BS91" s="348">
        <f t="shared" si="100"/>
        <v>0</v>
      </c>
      <c r="BT91" s="433">
        <v>0</v>
      </c>
      <c r="BU91" s="351">
        <f t="shared" si="101"/>
        <v>0</v>
      </c>
      <c r="BV91" s="353">
        <f t="shared" si="102"/>
        <v>0.26</v>
      </c>
      <c r="BW91" s="468">
        <v>0</v>
      </c>
      <c r="BX91" s="474"/>
      <c r="BY91" s="476"/>
      <c r="BZ91" s="662" t="s">
        <v>825</v>
      </c>
      <c r="CA91" s="666">
        <v>0</v>
      </c>
      <c r="CB91" s="354" t="str">
        <f t="shared" si="103"/>
        <v>To be realised</v>
      </c>
      <c r="CC91" s="466">
        <v>0</v>
      </c>
      <c r="CD91" s="466">
        <v>0</v>
      </c>
      <c r="CE91" s="355">
        <f t="shared" si="104"/>
        <v>4</v>
      </c>
      <c r="CF91" s="356">
        <f t="shared" si="105"/>
        <v>0</v>
      </c>
      <c r="CG91" s="348">
        <f t="shared" si="106"/>
        <v>0</v>
      </c>
      <c r="CH91" s="370" t="str">
        <f t="shared" si="107"/>
        <v>Column BN to be completed</v>
      </c>
      <c r="CI91" s="477"/>
      <c r="CJ91" s="453">
        <v>0</v>
      </c>
      <c r="CK91" s="372">
        <f t="shared" si="112"/>
        <v>0</v>
      </c>
      <c r="CL91" s="478">
        <v>1</v>
      </c>
      <c r="CM91" s="357" t="str">
        <f t="shared" si="109"/>
        <v>Excellent coverage</v>
      </c>
      <c r="CN91" s="447">
        <v>0</v>
      </c>
      <c r="CO91" s="753" t="s">
        <v>65</v>
      </c>
      <c r="CP91" s="484"/>
    </row>
    <row r="92" spans="2:94" s="36" customFormat="1" ht="30.75" customHeight="1" x14ac:dyDescent="0.2">
      <c r="B92" s="438" t="s">
        <v>183</v>
      </c>
      <c r="C92" s="430" t="s">
        <v>557</v>
      </c>
      <c r="D92" s="430" t="s">
        <v>265</v>
      </c>
      <c r="E92" s="430" t="s">
        <v>936</v>
      </c>
      <c r="F92" s="430">
        <v>97.718582999999995</v>
      </c>
      <c r="G92" s="430">
        <v>24.200972</v>
      </c>
      <c r="H92" s="430" t="s">
        <v>442</v>
      </c>
      <c r="I92" s="430" t="s">
        <v>213</v>
      </c>
      <c r="J92" s="430" t="s">
        <v>813</v>
      </c>
      <c r="K92" s="430" t="s">
        <v>800</v>
      </c>
      <c r="L92" s="721">
        <v>28</v>
      </c>
      <c r="M92" s="721">
        <v>180</v>
      </c>
      <c r="N92" s="431">
        <v>182</v>
      </c>
      <c r="O92" s="660">
        <v>215</v>
      </c>
      <c r="P92" s="796" t="str">
        <f t="shared" si="74"/>
        <v>1. Small</v>
      </c>
      <c r="Q92" s="797" t="s">
        <v>324</v>
      </c>
      <c r="R92" s="432" t="s">
        <v>234</v>
      </c>
      <c r="S92" s="793" t="s">
        <v>233</v>
      </c>
      <c r="T92" s="365" t="str">
        <f t="shared" si="75"/>
        <v>Covered</v>
      </c>
      <c r="U92" s="437">
        <v>42490</v>
      </c>
      <c r="V92" s="784" t="s">
        <v>252</v>
      </c>
      <c r="W92" s="363" t="str">
        <f t="shared" si="76"/>
        <v>Documented</v>
      </c>
      <c r="X92" s="441">
        <v>0</v>
      </c>
      <c r="Y92" s="431">
        <v>0</v>
      </c>
      <c r="Z92" s="660" t="s">
        <v>19</v>
      </c>
      <c r="AA92" s="442" t="s">
        <v>19</v>
      </c>
      <c r="AB92" s="441">
        <v>1</v>
      </c>
      <c r="AC92" s="447">
        <v>0</v>
      </c>
      <c r="AD92" s="833">
        <v>2040</v>
      </c>
      <c r="AE92" s="454">
        <v>0</v>
      </c>
      <c r="AF92" s="463">
        <v>1</v>
      </c>
      <c r="AG92" s="455" t="s">
        <v>830</v>
      </c>
      <c r="AH92" s="368">
        <f t="shared" si="77"/>
        <v>1</v>
      </c>
      <c r="AI92" s="346">
        <f t="shared" si="78"/>
        <v>215</v>
      </c>
      <c r="AJ92" s="347">
        <f t="shared" si="79"/>
        <v>1</v>
      </c>
      <c r="AK92" s="348">
        <f t="shared" si="80"/>
        <v>215</v>
      </c>
      <c r="AL92" s="345">
        <f t="shared" si="81"/>
        <v>1</v>
      </c>
      <c r="AM92" s="348">
        <f t="shared" si="82"/>
        <v>215</v>
      </c>
      <c r="AN92" s="349" t="str">
        <f t="shared" si="83"/>
        <v>80-100%</v>
      </c>
      <c r="AO92" s="345">
        <f t="shared" si="84"/>
        <v>0</v>
      </c>
      <c r="AP92" s="350">
        <f t="shared" si="85"/>
        <v>0</v>
      </c>
      <c r="AQ92" s="348">
        <f t="shared" si="86"/>
        <v>0</v>
      </c>
      <c r="AR92" s="348">
        <f t="shared" si="87"/>
        <v>28</v>
      </c>
      <c r="AS92" s="348">
        <f t="shared" si="88"/>
        <v>0</v>
      </c>
      <c r="AT92" s="458">
        <v>1</v>
      </c>
      <c r="AU92" s="459">
        <f t="shared" si="89"/>
        <v>215</v>
      </c>
      <c r="AV92" s="448"/>
      <c r="AW92" s="813">
        <v>28</v>
      </c>
      <c r="AX92" s="449">
        <v>4</v>
      </c>
      <c r="AY92" s="431"/>
      <c r="AZ92" s="431">
        <v>0</v>
      </c>
      <c r="BA92" s="431" t="s">
        <v>889</v>
      </c>
      <c r="BB92" s="442" t="s">
        <v>289</v>
      </c>
      <c r="BC92" s="810">
        <f t="shared" si="90"/>
        <v>0.37209302325581395</v>
      </c>
      <c r="BD92" s="348">
        <f t="shared" si="91"/>
        <v>80</v>
      </c>
      <c r="BE92" s="351">
        <f t="shared" si="92"/>
        <v>0.37209302325581395</v>
      </c>
      <c r="BF92" s="348">
        <f t="shared" si="93"/>
        <v>80</v>
      </c>
      <c r="BG92" s="351">
        <f t="shared" si="94"/>
        <v>0</v>
      </c>
      <c r="BH92" s="348">
        <f t="shared" si="95"/>
        <v>0</v>
      </c>
      <c r="BI92" s="447">
        <v>0</v>
      </c>
      <c r="BJ92" s="463">
        <v>0.37209999999999999</v>
      </c>
      <c r="BK92" s="352">
        <f t="shared" si="110"/>
        <v>80.001499999999993</v>
      </c>
      <c r="BL92" s="353">
        <f t="shared" si="111"/>
        <v>10.75</v>
      </c>
      <c r="BM92" s="431">
        <v>0</v>
      </c>
      <c r="BN92" s="431" t="s">
        <v>89</v>
      </c>
      <c r="BO92" s="351">
        <f t="shared" si="97"/>
        <v>0</v>
      </c>
      <c r="BP92" s="348">
        <f t="shared" si="98"/>
        <v>0</v>
      </c>
      <c r="BQ92" s="353">
        <f t="shared" si="99"/>
        <v>1.8</v>
      </c>
      <c r="BR92" s="463">
        <v>0.47</v>
      </c>
      <c r="BS92" s="348">
        <f t="shared" si="100"/>
        <v>101.05</v>
      </c>
      <c r="BT92" s="431">
        <v>6</v>
      </c>
      <c r="BU92" s="351">
        <f t="shared" si="101"/>
        <v>1</v>
      </c>
      <c r="BV92" s="353">
        <f t="shared" si="102"/>
        <v>0</v>
      </c>
      <c r="BW92" s="455">
        <v>1</v>
      </c>
      <c r="BX92" s="473" t="s">
        <v>943</v>
      </c>
      <c r="BY92" s="475">
        <v>42404</v>
      </c>
      <c r="BZ92" s="663" t="s">
        <v>823</v>
      </c>
      <c r="CA92" s="666">
        <v>0.45</v>
      </c>
      <c r="CB92" s="354">
        <f t="shared" si="103"/>
        <v>42769</v>
      </c>
      <c r="CC92" s="431">
        <v>26.5</v>
      </c>
      <c r="CD92" s="431">
        <v>9</v>
      </c>
      <c r="CE92" s="355">
        <f t="shared" si="104"/>
        <v>1.5</v>
      </c>
      <c r="CF92" s="356">
        <f t="shared" si="105"/>
        <v>0.9464285714285714</v>
      </c>
      <c r="CG92" s="348">
        <f t="shared" si="106"/>
        <v>203.48214285714286</v>
      </c>
      <c r="CH92" s="370">
        <f t="shared" si="107"/>
        <v>0</v>
      </c>
      <c r="CI92" s="479"/>
      <c r="CJ92" s="455">
        <v>1</v>
      </c>
      <c r="CK92" s="372">
        <f t="shared" si="112"/>
        <v>215</v>
      </c>
      <c r="CL92" s="449">
        <v>1</v>
      </c>
      <c r="CM92" s="357" t="str">
        <f t="shared" si="109"/>
        <v>Excellent coverage</v>
      </c>
      <c r="CN92" s="431">
        <v>0</v>
      </c>
      <c r="CO92" s="753" t="s">
        <v>65</v>
      </c>
      <c r="CP92" s="482"/>
    </row>
    <row r="93" spans="2:94" s="36" customFormat="1" ht="30.75" customHeight="1" x14ac:dyDescent="0.2">
      <c r="B93" s="438" t="s">
        <v>183</v>
      </c>
      <c r="C93" s="430" t="s">
        <v>558</v>
      </c>
      <c r="D93" s="430" t="s">
        <v>265</v>
      </c>
      <c r="E93" s="430" t="s">
        <v>188</v>
      </c>
      <c r="F93" s="430">
        <v>97.724566999999993</v>
      </c>
      <c r="G93" s="430">
        <v>24.205417000000001</v>
      </c>
      <c r="H93" s="430" t="s">
        <v>442</v>
      </c>
      <c r="I93" s="430" t="s">
        <v>213</v>
      </c>
      <c r="J93" s="430" t="s">
        <v>813</v>
      </c>
      <c r="K93" s="430" t="s">
        <v>800</v>
      </c>
      <c r="L93" s="722">
        <v>48</v>
      </c>
      <c r="M93" s="722">
        <v>270</v>
      </c>
      <c r="N93" s="639">
        <v>369</v>
      </c>
      <c r="O93" s="660">
        <v>261</v>
      </c>
      <c r="P93" s="796" t="str">
        <f t="shared" si="74"/>
        <v>1. Small</v>
      </c>
      <c r="Q93" s="797" t="s">
        <v>324</v>
      </c>
      <c r="R93" s="432" t="s">
        <v>230</v>
      </c>
      <c r="S93" s="793" t="s">
        <v>233</v>
      </c>
      <c r="T93" s="365" t="str">
        <f t="shared" si="75"/>
        <v>Covered</v>
      </c>
      <c r="U93" s="437">
        <v>42490</v>
      </c>
      <c r="V93" s="784" t="s">
        <v>252</v>
      </c>
      <c r="W93" s="363" t="str">
        <f t="shared" si="76"/>
        <v>Documented</v>
      </c>
      <c r="X93" s="441">
        <v>0</v>
      </c>
      <c r="Y93" s="431">
        <v>0</v>
      </c>
      <c r="Z93" s="660" t="s">
        <v>19</v>
      </c>
      <c r="AA93" s="442" t="s">
        <v>19</v>
      </c>
      <c r="AB93" s="441">
        <v>0</v>
      </c>
      <c r="AC93" s="447">
        <v>0</v>
      </c>
      <c r="AD93" s="833">
        <v>2940</v>
      </c>
      <c r="AE93" s="454">
        <v>0</v>
      </c>
      <c r="AF93" s="463">
        <v>1</v>
      </c>
      <c r="AG93" s="455" t="s">
        <v>830</v>
      </c>
      <c r="AH93" s="368">
        <f t="shared" si="77"/>
        <v>0.75095785440613028</v>
      </c>
      <c r="AI93" s="346">
        <f t="shared" si="78"/>
        <v>196</v>
      </c>
      <c r="AJ93" s="347">
        <f t="shared" si="79"/>
        <v>0.75095785440613028</v>
      </c>
      <c r="AK93" s="348">
        <f t="shared" si="80"/>
        <v>196</v>
      </c>
      <c r="AL93" s="345">
        <f t="shared" si="81"/>
        <v>1</v>
      </c>
      <c r="AM93" s="348">
        <f t="shared" si="82"/>
        <v>261</v>
      </c>
      <c r="AN93" s="349" t="str">
        <f t="shared" si="83"/>
        <v>60-80%</v>
      </c>
      <c r="AO93" s="345">
        <f t="shared" si="84"/>
        <v>0</v>
      </c>
      <c r="AP93" s="350">
        <f t="shared" si="85"/>
        <v>0</v>
      </c>
      <c r="AQ93" s="348">
        <f t="shared" si="86"/>
        <v>0.65249999999999997</v>
      </c>
      <c r="AR93" s="348">
        <f t="shared" si="87"/>
        <v>48</v>
      </c>
      <c r="AS93" s="348">
        <f t="shared" si="88"/>
        <v>0</v>
      </c>
      <c r="AT93" s="458">
        <v>1</v>
      </c>
      <c r="AU93" s="459">
        <f t="shared" si="89"/>
        <v>261</v>
      </c>
      <c r="AV93" s="448" t="s">
        <v>779</v>
      </c>
      <c r="AW93" s="813">
        <v>1</v>
      </c>
      <c r="AX93" s="443">
        <v>9</v>
      </c>
      <c r="AY93" s="433"/>
      <c r="AZ93" s="433">
        <v>12</v>
      </c>
      <c r="BA93" s="433" t="s">
        <v>891</v>
      </c>
      <c r="BB93" s="442" t="s">
        <v>289</v>
      </c>
      <c r="BC93" s="810">
        <f t="shared" si="90"/>
        <v>1</v>
      </c>
      <c r="BD93" s="348">
        <f t="shared" si="91"/>
        <v>261</v>
      </c>
      <c r="BE93" s="351">
        <f t="shared" si="92"/>
        <v>8.0459770114942541E-2</v>
      </c>
      <c r="BF93" s="348">
        <f t="shared" si="93"/>
        <v>21.000000000000004</v>
      </c>
      <c r="BG93" s="351">
        <f t="shared" si="94"/>
        <v>0.91954022988505746</v>
      </c>
      <c r="BH93" s="348">
        <f t="shared" si="95"/>
        <v>240</v>
      </c>
      <c r="BI93" s="447">
        <v>0</v>
      </c>
      <c r="BJ93" s="463">
        <v>1</v>
      </c>
      <c r="BK93" s="352">
        <f t="shared" si="110"/>
        <v>261</v>
      </c>
      <c r="BL93" s="353">
        <f t="shared" si="111"/>
        <v>1.0500000000000007</v>
      </c>
      <c r="BM93" s="431">
        <v>2</v>
      </c>
      <c r="BN93" s="431" t="s">
        <v>89</v>
      </c>
      <c r="BO93" s="351">
        <f t="shared" si="97"/>
        <v>0.76628352490421459</v>
      </c>
      <c r="BP93" s="348">
        <f t="shared" si="98"/>
        <v>200</v>
      </c>
      <c r="BQ93" s="353">
        <f t="shared" si="99"/>
        <v>0.70000000000000018</v>
      </c>
      <c r="BR93" s="463">
        <v>0.77</v>
      </c>
      <c r="BS93" s="348">
        <f t="shared" si="100"/>
        <v>200.97</v>
      </c>
      <c r="BT93" s="431">
        <v>7</v>
      </c>
      <c r="BU93" s="351">
        <f t="shared" si="101"/>
        <v>1</v>
      </c>
      <c r="BV93" s="353">
        <f t="shared" si="102"/>
        <v>0</v>
      </c>
      <c r="BW93" s="451">
        <v>1</v>
      </c>
      <c r="BX93" s="473"/>
      <c r="BY93" s="475">
        <v>42404</v>
      </c>
      <c r="BZ93" s="663" t="s">
        <v>823</v>
      </c>
      <c r="CA93" s="666">
        <v>0.45</v>
      </c>
      <c r="CB93" s="354">
        <f t="shared" si="103"/>
        <v>42769</v>
      </c>
      <c r="CC93" s="431">
        <v>41.5</v>
      </c>
      <c r="CD93" s="431">
        <v>9</v>
      </c>
      <c r="CE93" s="355">
        <f t="shared" si="104"/>
        <v>6.5</v>
      </c>
      <c r="CF93" s="356">
        <f t="shared" si="105"/>
        <v>0.86458333333333337</v>
      </c>
      <c r="CG93" s="348">
        <f t="shared" si="106"/>
        <v>225.65625</v>
      </c>
      <c r="CH93" s="370">
        <f t="shared" si="107"/>
        <v>0</v>
      </c>
      <c r="CI93" s="441"/>
      <c r="CJ93" s="451">
        <v>1</v>
      </c>
      <c r="CK93" s="372">
        <f t="shared" si="112"/>
        <v>261</v>
      </c>
      <c r="CL93" s="441">
        <v>1</v>
      </c>
      <c r="CM93" s="357" t="str">
        <f t="shared" si="109"/>
        <v>Excellent coverage</v>
      </c>
      <c r="CN93" s="447">
        <v>0</v>
      </c>
      <c r="CO93" s="753" t="s">
        <v>65</v>
      </c>
      <c r="CP93" s="482"/>
    </row>
    <row r="94" spans="2:94" s="36" customFormat="1" ht="30.75" customHeight="1" x14ac:dyDescent="0.2">
      <c r="B94" s="438" t="s">
        <v>183</v>
      </c>
      <c r="C94" s="430" t="s">
        <v>559</v>
      </c>
      <c r="D94" s="430" t="s">
        <v>265</v>
      </c>
      <c r="E94" s="430" t="s">
        <v>626</v>
      </c>
      <c r="F94" s="430">
        <v>97.717133000000004</v>
      </c>
      <c r="G94" s="430">
        <v>24.200433</v>
      </c>
      <c r="H94" s="430" t="s">
        <v>442</v>
      </c>
      <c r="I94" s="430" t="s">
        <v>213</v>
      </c>
      <c r="J94" s="430" t="s">
        <v>813</v>
      </c>
      <c r="K94" s="430" t="s">
        <v>800</v>
      </c>
      <c r="L94" s="722">
        <v>75</v>
      </c>
      <c r="M94" s="722">
        <v>435</v>
      </c>
      <c r="N94" s="639">
        <v>412</v>
      </c>
      <c r="O94" s="789">
        <v>435</v>
      </c>
      <c r="P94" s="796" t="str">
        <f t="shared" si="74"/>
        <v>2. Medium</v>
      </c>
      <c r="Q94" s="797" t="s">
        <v>324</v>
      </c>
      <c r="R94" s="434" t="s">
        <v>234</v>
      </c>
      <c r="S94" s="792" t="s">
        <v>233</v>
      </c>
      <c r="T94" s="365" t="str">
        <f t="shared" si="75"/>
        <v>Covered</v>
      </c>
      <c r="U94" s="782">
        <v>42490</v>
      </c>
      <c r="V94" s="783" t="s">
        <v>252</v>
      </c>
      <c r="W94" s="363" t="str">
        <f t="shared" si="76"/>
        <v>Documented</v>
      </c>
      <c r="X94" s="443">
        <v>0</v>
      </c>
      <c r="Y94" s="433">
        <v>0</v>
      </c>
      <c r="Z94" s="659" t="s">
        <v>19</v>
      </c>
      <c r="AA94" s="444" t="s">
        <v>19</v>
      </c>
      <c r="AB94" s="443">
        <v>1</v>
      </c>
      <c r="AC94" s="433">
        <v>0</v>
      </c>
      <c r="AD94" s="830">
        <v>12720</v>
      </c>
      <c r="AE94" s="452">
        <v>0</v>
      </c>
      <c r="AF94" s="461">
        <v>1</v>
      </c>
      <c r="AG94" s="453" t="s">
        <v>830</v>
      </c>
      <c r="AH94" s="368">
        <f t="shared" si="77"/>
        <v>1</v>
      </c>
      <c r="AI94" s="346">
        <f t="shared" si="78"/>
        <v>435</v>
      </c>
      <c r="AJ94" s="347">
        <f t="shared" si="79"/>
        <v>1</v>
      </c>
      <c r="AK94" s="348">
        <f t="shared" si="80"/>
        <v>435</v>
      </c>
      <c r="AL94" s="345">
        <f t="shared" si="81"/>
        <v>1</v>
      </c>
      <c r="AM94" s="348">
        <f t="shared" si="82"/>
        <v>435</v>
      </c>
      <c r="AN94" s="349" t="str">
        <f t="shared" si="83"/>
        <v>80-100%</v>
      </c>
      <c r="AO94" s="345">
        <f t="shared" si="84"/>
        <v>0</v>
      </c>
      <c r="AP94" s="350">
        <f t="shared" si="85"/>
        <v>0</v>
      </c>
      <c r="AQ94" s="348">
        <f t="shared" si="86"/>
        <v>8.7499999999999911E-2</v>
      </c>
      <c r="AR94" s="348">
        <f t="shared" si="87"/>
        <v>75</v>
      </c>
      <c r="AS94" s="348">
        <f t="shared" si="88"/>
        <v>0</v>
      </c>
      <c r="AT94" s="461">
        <v>1</v>
      </c>
      <c r="AU94" s="459">
        <f t="shared" si="89"/>
        <v>435</v>
      </c>
      <c r="AV94" s="453" t="s">
        <v>931</v>
      </c>
      <c r="AW94" s="812">
        <v>6</v>
      </c>
      <c r="AX94" s="443">
        <v>0</v>
      </c>
      <c r="AY94" s="433"/>
      <c r="AZ94" s="433">
        <v>12</v>
      </c>
      <c r="BA94" s="433" t="s">
        <v>891</v>
      </c>
      <c r="BB94" s="444" t="s">
        <v>289</v>
      </c>
      <c r="BC94" s="810">
        <f t="shared" si="90"/>
        <v>0.55172413793103448</v>
      </c>
      <c r="BD94" s="348">
        <f t="shared" si="91"/>
        <v>240</v>
      </c>
      <c r="BE94" s="351">
        <f t="shared" si="92"/>
        <v>0</v>
      </c>
      <c r="BF94" s="348">
        <f t="shared" si="93"/>
        <v>0</v>
      </c>
      <c r="BG94" s="351">
        <f t="shared" si="94"/>
        <v>0.55172413793103448</v>
      </c>
      <c r="BH94" s="348">
        <f t="shared" si="95"/>
        <v>240</v>
      </c>
      <c r="BI94" s="466">
        <v>0</v>
      </c>
      <c r="BJ94" s="461">
        <v>0.55200000000000005</v>
      </c>
      <c r="BK94" s="352">
        <f t="shared" si="110"/>
        <v>240.12000000000003</v>
      </c>
      <c r="BL94" s="353">
        <f t="shared" si="111"/>
        <v>9.75</v>
      </c>
      <c r="BM94" s="433">
        <v>1</v>
      </c>
      <c r="BN94" s="433" t="s">
        <v>89</v>
      </c>
      <c r="BO94" s="351">
        <f t="shared" si="97"/>
        <v>0.22988505747126436</v>
      </c>
      <c r="BP94" s="348">
        <f t="shared" si="98"/>
        <v>100</v>
      </c>
      <c r="BQ94" s="353">
        <f t="shared" si="99"/>
        <v>3.3499999999999996</v>
      </c>
      <c r="BR94" s="467">
        <v>0.23</v>
      </c>
      <c r="BS94" s="348">
        <f t="shared" si="100"/>
        <v>100.05000000000001</v>
      </c>
      <c r="BT94" s="433">
        <v>4</v>
      </c>
      <c r="BU94" s="351">
        <f t="shared" si="101"/>
        <v>0.91954022988505746</v>
      </c>
      <c r="BV94" s="353">
        <f t="shared" si="102"/>
        <v>0.34999999999999964</v>
      </c>
      <c r="BW94" s="453">
        <v>0.92</v>
      </c>
      <c r="BX94" s="474"/>
      <c r="BY94" s="476">
        <v>42405</v>
      </c>
      <c r="BZ94" s="662" t="s">
        <v>823</v>
      </c>
      <c r="CA94" s="665">
        <v>0.45</v>
      </c>
      <c r="CB94" s="354">
        <f t="shared" si="103"/>
        <v>42770</v>
      </c>
      <c r="CC94" s="466">
        <v>154</v>
      </c>
      <c r="CD94" s="466">
        <v>9</v>
      </c>
      <c r="CE94" s="355">
        <f t="shared" si="104"/>
        <v>0</v>
      </c>
      <c r="CF94" s="356">
        <f t="shared" si="105"/>
        <v>1</v>
      </c>
      <c r="CG94" s="348">
        <f t="shared" si="106"/>
        <v>435</v>
      </c>
      <c r="CH94" s="370">
        <f t="shared" si="107"/>
        <v>0</v>
      </c>
      <c r="CI94" s="478"/>
      <c r="CJ94" s="453">
        <v>1</v>
      </c>
      <c r="CK94" s="372">
        <f t="shared" si="112"/>
        <v>435</v>
      </c>
      <c r="CL94" s="478">
        <v>3</v>
      </c>
      <c r="CM94" s="357" t="str">
        <f t="shared" si="109"/>
        <v>Excellent coverage</v>
      </c>
      <c r="CN94" s="447">
        <v>0</v>
      </c>
      <c r="CO94" s="752" t="s">
        <v>65</v>
      </c>
      <c r="CP94" s="484"/>
    </row>
    <row r="95" spans="2:94" s="36" customFormat="1" ht="30.75" customHeight="1" x14ac:dyDescent="0.25">
      <c r="B95" s="438" t="s">
        <v>183</v>
      </c>
      <c r="C95" s="430" t="s">
        <v>559</v>
      </c>
      <c r="D95" s="430" t="s">
        <v>265</v>
      </c>
      <c r="E95" s="430" t="s">
        <v>627</v>
      </c>
      <c r="F95" s="430">
        <v>97.715400000000002</v>
      </c>
      <c r="G95" s="430">
        <v>24.20083</v>
      </c>
      <c r="H95" s="430" t="s">
        <v>442</v>
      </c>
      <c r="I95" s="430" t="s">
        <v>213</v>
      </c>
      <c r="J95" s="430" t="s">
        <v>813</v>
      </c>
      <c r="K95" s="430" t="s">
        <v>800</v>
      </c>
      <c r="L95" s="722">
        <v>40</v>
      </c>
      <c r="M95" s="722">
        <v>220</v>
      </c>
      <c r="N95" s="639">
        <v>220</v>
      </c>
      <c r="O95" s="789">
        <v>220</v>
      </c>
      <c r="P95" s="796" t="str">
        <f t="shared" si="74"/>
        <v>1. Small</v>
      </c>
      <c r="Q95" s="797" t="s">
        <v>324</v>
      </c>
      <c r="R95" s="434" t="s">
        <v>234</v>
      </c>
      <c r="S95" s="792" t="s">
        <v>233</v>
      </c>
      <c r="T95" s="365" t="str">
        <f t="shared" si="75"/>
        <v>Covered</v>
      </c>
      <c r="U95" s="782">
        <v>42490</v>
      </c>
      <c r="V95" s="783" t="s">
        <v>252</v>
      </c>
      <c r="W95" s="363" t="str">
        <f t="shared" si="76"/>
        <v>Documented</v>
      </c>
      <c r="X95" s="443">
        <v>0</v>
      </c>
      <c r="Y95" s="433">
        <v>0</v>
      </c>
      <c r="Z95" s="659" t="s">
        <v>19</v>
      </c>
      <c r="AA95" s="444" t="s">
        <v>19</v>
      </c>
      <c r="AB95" s="443">
        <v>1</v>
      </c>
      <c r="AC95" s="433">
        <v>0</v>
      </c>
      <c r="AD95" s="833">
        <v>6448</v>
      </c>
      <c r="AE95" s="452">
        <v>0</v>
      </c>
      <c r="AF95" s="461">
        <v>1</v>
      </c>
      <c r="AG95" s="453" t="s">
        <v>830</v>
      </c>
      <c r="AH95" s="368">
        <f t="shared" si="77"/>
        <v>1</v>
      </c>
      <c r="AI95" s="346">
        <f t="shared" si="78"/>
        <v>220</v>
      </c>
      <c r="AJ95" s="347">
        <f t="shared" si="79"/>
        <v>1</v>
      </c>
      <c r="AK95" s="348">
        <f t="shared" si="80"/>
        <v>220</v>
      </c>
      <c r="AL95" s="345">
        <f t="shared" si="81"/>
        <v>1</v>
      </c>
      <c r="AM95" s="348">
        <f t="shared" si="82"/>
        <v>220</v>
      </c>
      <c r="AN95" s="349" t="str">
        <f t="shared" si="83"/>
        <v>80-100%</v>
      </c>
      <c r="AO95" s="345">
        <f t="shared" si="84"/>
        <v>0</v>
      </c>
      <c r="AP95" s="350">
        <f t="shared" si="85"/>
        <v>0</v>
      </c>
      <c r="AQ95" s="348">
        <f t="shared" si="86"/>
        <v>0</v>
      </c>
      <c r="AR95" s="348">
        <f t="shared" si="87"/>
        <v>40</v>
      </c>
      <c r="AS95" s="348">
        <f t="shared" si="88"/>
        <v>0</v>
      </c>
      <c r="AT95" s="461">
        <v>1</v>
      </c>
      <c r="AU95" s="459">
        <f t="shared" si="89"/>
        <v>220</v>
      </c>
      <c r="AV95" s="453"/>
      <c r="AW95" s="812">
        <v>15</v>
      </c>
      <c r="AX95" s="443">
        <v>2</v>
      </c>
      <c r="AY95" s="433"/>
      <c r="AZ95" s="433">
        <v>10</v>
      </c>
      <c r="BA95" s="431" t="s">
        <v>889</v>
      </c>
      <c r="BB95" s="444" t="s">
        <v>289</v>
      </c>
      <c r="BC95" s="810">
        <f t="shared" si="90"/>
        <v>1</v>
      </c>
      <c r="BD95" s="348">
        <f t="shared" si="91"/>
        <v>220</v>
      </c>
      <c r="BE95" s="351">
        <f t="shared" si="92"/>
        <v>9.0909090909090939E-2</v>
      </c>
      <c r="BF95" s="348">
        <f t="shared" si="93"/>
        <v>20.000000000000007</v>
      </c>
      <c r="BG95" s="351">
        <f t="shared" si="94"/>
        <v>0.90909090909090906</v>
      </c>
      <c r="BH95" s="348">
        <f t="shared" si="95"/>
        <v>200</v>
      </c>
      <c r="BI95" s="466">
        <v>0</v>
      </c>
      <c r="BJ95" s="461">
        <v>1</v>
      </c>
      <c r="BK95" s="352">
        <f t="shared" si="110"/>
        <v>220</v>
      </c>
      <c r="BL95" s="353">
        <f t="shared" si="111"/>
        <v>1</v>
      </c>
      <c r="BM95" s="433">
        <v>1</v>
      </c>
      <c r="BN95" s="433" t="s">
        <v>89</v>
      </c>
      <c r="BO95" s="351">
        <f t="shared" si="97"/>
        <v>0.45454545454545453</v>
      </c>
      <c r="BP95" s="348">
        <f t="shared" si="98"/>
        <v>100</v>
      </c>
      <c r="BQ95" s="353">
        <f t="shared" si="99"/>
        <v>1.2000000000000002</v>
      </c>
      <c r="BR95" s="467">
        <v>0.45455000000000001</v>
      </c>
      <c r="BS95" s="348">
        <f t="shared" si="100"/>
        <v>100.001</v>
      </c>
      <c r="BT95" s="433">
        <v>4</v>
      </c>
      <c r="BU95" s="351">
        <f t="shared" si="101"/>
        <v>1</v>
      </c>
      <c r="BV95" s="353">
        <f t="shared" si="102"/>
        <v>0</v>
      </c>
      <c r="BW95" s="453">
        <v>1</v>
      </c>
      <c r="BX95" s="474"/>
      <c r="BY95" s="476">
        <v>42405</v>
      </c>
      <c r="BZ95" s="662" t="s">
        <v>823</v>
      </c>
      <c r="CA95" s="665">
        <v>0.45</v>
      </c>
      <c r="CB95" s="354">
        <f t="shared" si="103"/>
        <v>42770</v>
      </c>
      <c r="CC95" s="466"/>
      <c r="CD95" s="466">
        <v>9</v>
      </c>
      <c r="CE95" s="355">
        <f t="shared" si="104"/>
        <v>40</v>
      </c>
      <c r="CF95" s="356">
        <f t="shared" si="105"/>
        <v>0</v>
      </c>
      <c r="CG95" s="348">
        <f t="shared" si="106"/>
        <v>0</v>
      </c>
      <c r="CH95" s="370">
        <f t="shared" si="107"/>
        <v>0</v>
      </c>
      <c r="CI95" s="478"/>
      <c r="CJ95" s="453">
        <v>1</v>
      </c>
      <c r="CK95" s="372">
        <f t="shared" si="112"/>
        <v>220</v>
      </c>
      <c r="CL95" s="478">
        <v>1</v>
      </c>
      <c r="CM95" s="357" t="str">
        <f t="shared" si="109"/>
        <v>Excellent coverage</v>
      </c>
      <c r="CN95" s="447">
        <v>0</v>
      </c>
      <c r="CO95" s="752" t="s">
        <v>65</v>
      </c>
      <c r="CP95" s="485"/>
    </row>
    <row r="96" spans="2:94" s="36" customFormat="1" ht="30.75" customHeight="1" x14ac:dyDescent="0.2">
      <c r="B96" s="438" t="s">
        <v>183</v>
      </c>
      <c r="C96" s="430" t="s">
        <v>559</v>
      </c>
      <c r="D96" s="430" t="s">
        <v>265</v>
      </c>
      <c r="E96" s="430" t="s">
        <v>628</v>
      </c>
      <c r="F96" s="430">
        <v>97.716260000000005</v>
      </c>
      <c r="G96" s="430">
        <v>24.20411</v>
      </c>
      <c r="H96" s="430" t="s">
        <v>442</v>
      </c>
      <c r="I96" s="430" t="s">
        <v>213</v>
      </c>
      <c r="J96" s="430" t="s">
        <v>813</v>
      </c>
      <c r="K96" s="430" t="s">
        <v>800</v>
      </c>
      <c r="L96" s="721">
        <v>21</v>
      </c>
      <c r="M96" s="721">
        <v>115</v>
      </c>
      <c r="N96" s="431">
        <v>115</v>
      </c>
      <c r="O96" s="660">
        <v>115</v>
      </c>
      <c r="P96" s="796" t="str">
        <f t="shared" si="74"/>
        <v>1. Small</v>
      </c>
      <c r="Q96" s="797" t="s">
        <v>324</v>
      </c>
      <c r="R96" s="432" t="s">
        <v>234</v>
      </c>
      <c r="S96" s="793" t="s">
        <v>233</v>
      </c>
      <c r="T96" s="365" t="str">
        <f t="shared" si="75"/>
        <v>Covered</v>
      </c>
      <c r="U96" s="437">
        <v>42490</v>
      </c>
      <c r="V96" s="784" t="s">
        <v>252</v>
      </c>
      <c r="W96" s="363" t="str">
        <f t="shared" si="76"/>
        <v>Documented</v>
      </c>
      <c r="X96" s="441">
        <v>0</v>
      </c>
      <c r="Y96" s="431">
        <v>0</v>
      </c>
      <c r="Z96" s="660" t="s">
        <v>19</v>
      </c>
      <c r="AA96" s="442" t="s">
        <v>19</v>
      </c>
      <c r="AB96" s="441">
        <v>1</v>
      </c>
      <c r="AC96" s="447">
        <v>0</v>
      </c>
      <c r="AD96" s="833">
        <v>2970</v>
      </c>
      <c r="AE96" s="454">
        <v>0</v>
      </c>
      <c r="AF96" s="463">
        <v>1</v>
      </c>
      <c r="AG96" s="455" t="s">
        <v>830</v>
      </c>
      <c r="AH96" s="368">
        <f t="shared" si="77"/>
        <v>1</v>
      </c>
      <c r="AI96" s="346">
        <f t="shared" si="78"/>
        <v>115</v>
      </c>
      <c r="AJ96" s="347">
        <f t="shared" si="79"/>
        <v>1</v>
      </c>
      <c r="AK96" s="348">
        <f t="shared" si="80"/>
        <v>115</v>
      </c>
      <c r="AL96" s="345">
        <f t="shared" si="81"/>
        <v>1</v>
      </c>
      <c r="AM96" s="348">
        <f t="shared" si="82"/>
        <v>115</v>
      </c>
      <c r="AN96" s="349" t="str">
        <f t="shared" si="83"/>
        <v>80-100%</v>
      </c>
      <c r="AO96" s="345">
        <f t="shared" si="84"/>
        <v>0</v>
      </c>
      <c r="AP96" s="350">
        <f t="shared" si="85"/>
        <v>0</v>
      </c>
      <c r="AQ96" s="348">
        <f t="shared" si="86"/>
        <v>0</v>
      </c>
      <c r="AR96" s="348">
        <f t="shared" si="87"/>
        <v>21</v>
      </c>
      <c r="AS96" s="348">
        <f t="shared" si="88"/>
        <v>0</v>
      </c>
      <c r="AT96" s="458">
        <v>1</v>
      </c>
      <c r="AU96" s="459">
        <f t="shared" si="89"/>
        <v>115</v>
      </c>
      <c r="AV96" s="448"/>
      <c r="AW96" s="813">
        <v>33</v>
      </c>
      <c r="AX96" s="449">
        <v>2</v>
      </c>
      <c r="AY96" s="431"/>
      <c r="AZ96" s="431">
        <v>4</v>
      </c>
      <c r="BA96" s="431" t="s">
        <v>889</v>
      </c>
      <c r="BB96" s="442" t="s">
        <v>289</v>
      </c>
      <c r="BC96" s="810">
        <f t="shared" si="90"/>
        <v>1</v>
      </c>
      <c r="BD96" s="348">
        <f t="shared" si="91"/>
        <v>115</v>
      </c>
      <c r="BE96" s="351">
        <f t="shared" si="92"/>
        <v>0.30434782608695654</v>
      </c>
      <c r="BF96" s="348">
        <f t="shared" si="93"/>
        <v>35</v>
      </c>
      <c r="BG96" s="351">
        <f t="shared" si="94"/>
        <v>0.69565217391304346</v>
      </c>
      <c r="BH96" s="348">
        <f t="shared" si="95"/>
        <v>80</v>
      </c>
      <c r="BI96" s="447">
        <v>0</v>
      </c>
      <c r="BJ96" s="463">
        <v>1</v>
      </c>
      <c r="BK96" s="352">
        <f t="shared" si="110"/>
        <v>115</v>
      </c>
      <c r="BL96" s="353">
        <f t="shared" si="111"/>
        <v>1.75</v>
      </c>
      <c r="BM96" s="431">
        <v>1</v>
      </c>
      <c r="BN96" s="431" t="s">
        <v>89</v>
      </c>
      <c r="BO96" s="351">
        <f t="shared" si="97"/>
        <v>0.86956521739130432</v>
      </c>
      <c r="BP96" s="348">
        <f t="shared" si="98"/>
        <v>100</v>
      </c>
      <c r="BQ96" s="353">
        <f t="shared" si="99"/>
        <v>0.14999999999999991</v>
      </c>
      <c r="BR96" s="463">
        <v>0.87</v>
      </c>
      <c r="BS96" s="348">
        <f t="shared" si="100"/>
        <v>100.05</v>
      </c>
      <c r="BT96" s="431">
        <v>2</v>
      </c>
      <c r="BU96" s="351">
        <f t="shared" si="101"/>
        <v>1</v>
      </c>
      <c r="BV96" s="353">
        <f t="shared" si="102"/>
        <v>0</v>
      </c>
      <c r="BW96" s="451">
        <v>1</v>
      </c>
      <c r="BX96" s="473"/>
      <c r="BY96" s="475">
        <v>42405</v>
      </c>
      <c r="BZ96" s="663" t="s">
        <v>823</v>
      </c>
      <c r="CA96" s="666">
        <v>0.45</v>
      </c>
      <c r="CB96" s="354">
        <f t="shared" si="103"/>
        <v>42770</v>
      </c>
      <c r="CC96" s="431"/>
      <c r="CD96" s="431">
        <v>9</v>
      </c>
      <c r="CE96" s="355">
        <f t="shared" si="104"/>
        <v>21</v>
      </c>
      <c r="CF96" s="356">
        <f t="shared" si="105"/>
        <v>0</v>
      </c>
      <c r="CG96" s="348">
        <f t="shared" si="106"/>
        <v>0</v>
      </c>
      <c r="CH96" s="370">
        <f t="shared" si="107"/>
        <v>0</v>
      </c>
      <c r="CI96" s="441"/>
      <c r="CJ96" s="451">
        <v>1</v>
      </c>
      <c r="CK96" s="372">
        <f t="shared" si="112"/>
        <v>115</v>
      </c>
      <c r="CL96" s="441">
        <v>1</v>
      </c>
      <c r="CM96" s="357" t="str">
        <f t="shared" si="109"/>
        <v>Excellent coverage</v>
      </c>
      <c r="CN96" s="447">
        <v>0</v>
      </c>
      <c r="CO96" s="753" t="s">
        <v>65</v>
      </c>
      <c r="CP96" s="482"/>
    </row>
    <row r="97" spans="2:94" s="36" customFormat="1" ht="30.75" customHeight="1" x14ac:dyDescent="0.2">
      <c r="B97" s="438" t="s">
        <v>183</v>
      </c>
      <c r="C97" s="430" t="s">
        <v>559</v>
      </c>
      <c r="D97" s="430" t="s">
        <v>265</v>
      </c>
      <c r="E97" s="430" t="s">
        <v>715</v>
      </c>
      <c r="F97" s="430">
        <v>97.714839999999995</v>
      </c>
      <c r="G97" s="430">
        <v>24.20757</v>
      </c>
      <c r="H97" s="430" t="s">
        <v>442</v>
      </c>
      <c r="I97" s="430" t="s">
        <v>213</v>
      </c>
      <c r="J97" s="430" t="s">
        <v>813</v>
      </c>
      <c r="K97" s="430" t="s">
        <v>800</v>
      </c>
      <c r="L97" s="722">
        <v>52</v>
      </c>
      <c r="M97" s="722">
        <v>248</v>
      </c>
      <c r="N97" s="639">
        <v>248</v>
      </c>
      <c r="O97" s="789">
        <v>248</v>
      </c>
      <c r="P97" s="796" t="str">
        <f t="shared" si="74"/>
        <v>2. Medium</v>
      </c>
      <c r="Q97" s="797" t="s">
        <v>324</v>
      </c>
      <c r="R97" s="434" t="s">
        <v>234</v>
      </c>
      <c r="S97" s="792" t="s">
        <v>233</v>
      </c>
      <c r="T97" s="365" t="str">
        <f t="shared" si="75"/>
        <v>Covered</v>
      </c>
      <c r="U97" s="782">
        <v>42490</v>
      </c>
      <c r="V97" s="783" t="s">
        <v>252</v>
      </c>
      <c r="W97" s="363" t="str">
        <f t="shared" si="76"/>
        <v>Documented</v>
      </c>
      <c r="X97" s="443">
        <v>0</v>
      </c>
      <c r="Y97" s="433">
        <v>0</v>
      </c>
      <c r="Z97" s="659" t="s">
        <v>19</v>
      </c>
      <c r="AA97" s="444" t="s">
        <v>19</v>
      </c>
      <c r="AB97" s="443">
        <v>1</v>
      </c>
      <c r="AC97" s="433">
        <v>0</v>
      </c>
      <c r="AD97" s="830">
        <v>8360</v>
      </c>
      <c r="AE97" s="452">
        <v>0</v>
      </c>
      <c r="AF97" s="461">
        <v>1</v>
      </c>
      <c r="AG97" s="453" t="s">
        <v>830</v>
      </c>
      <c r="AH97" s="368">
        <f t="shared" si="77"/>
        <v>1</v>
      </c>
      <c r="AI97" s="346">
        <f t="shared" si="78"/>
        <v>248</v>
      </c>
      <c r="AJ97" s="347">
        <f t="shared" si="79"/>
        <v>1</v>
      </c>
      <c r="AK97" s="348">
        <f t="shared" si="80"/>
        <v>248</v>
      </c>
      <c r="AL97" s="345">
        <f t="shared" si="81"/>
        <v>1</v>
      </c>
      <c r="AM97" s="348">
        <f t="shared" si="82"/>
        <v>248</v>
      </c>
      <c r="AN97" s="349" t="str">
        <f t="shared" si="83"/>
        <v>80-100%</v>
      </c>
      <c r="AO97" s="345">
        <f t="shared" si="84"/>
        <v>0</v>
      </c>
      <c r="AP97" s="350">
        <f t="shared" si="85"/>
        <v>0</v>
      </c>
      <c r="AQ97" s="348">
        <f t="shared" si="86"/>
        <v>0</v>
      </c>
      <c r="AR97" s="348">
        <f t="shared" si="87"/>
        <v>52</v>
      </c>
      <c r="AS97" s="348">
        <f t="shared" si="88"/>
        <v>0</v>
      </c>
      <c r="AT97" s="461">
        <v>1</v>
      </c>
      <c r="AU97" s="459">
        <f t="shared" si="89"/>
        <v>248</v>
      </c>
      <c r="AV97" s="453"/>
      <c r="AW97" s="812">
        <v>14</v>
      </c>
      <c r="AX97" s="443">
        <v>0</v>
      </c>
      <c r="AY97" s="433"/>
      <c r="AZ97" s="433">
        <v>10</v>
      </c>
      <c r="BA97" s="431" t="s">
        <v>889</v>
      </c>
      <c r="BB97" s="444" t="s">
        <v>289</v>
      </c>
      <c r="BC97" s="810">
        <f t="shared" si="90"/>
        <v>0.80645161290322576</v>
      </c>
      <c r="BD97" s="348">
        <f t="shared" si="91"/>
        <v>200</v>
      </c>
      <c r="BE97" s="351">
        <f t="shared" si="92"/>
        <v>0</v>
      </c>
      <c r="BF97" s="348">
        <f t="shared" si="93"/>
        <v>0</v>
      </c>
      <c r="BG97" s="351">
        <f t="shared" si="94"/>
        <v>0.80645161290322576</v>
      </c>
      <c r="BH97" s="348">
        <f t="shared" si="95"/>
        <v>200</v>
      </c>
      <c r="BI97" s="466"/>
      <c r="BJ97" s="461">
        <v>0.81</v>
      </c>
      <c r="BK97" s="352">
        <f t="shared" si="110"/>
        <v>200.88000000000002</v>
      </c>
      <c r="BL97" s="353">
        <f t="shared" si="111"/>
        <v>2.4000000000000004</v>
      </c>
      <c r="BM97" s="433">
        <v>2</v>
      </c>
      <c r="BN97" s="433" t="s">
        <v>89</v>
      </c>
      <c r="BO97" s="351">
        <f t="shared" si="97"/>
        <v>0.80645161290322576</v>
      </c>
      <c r="BP97" s="348">
        <f t="shared" si="98"/>
        <v>200</v>
      </c>
      <c r="BQ97" s="353">
        <f t="shared" si="99"/>
        <v>0.48</v>
      </c>
      <c r="BR97" s="467">
        <v>0.80645199999999995</v>
      </c>
      <c r="BS97" s="348">
        <f t="shared" si="100"/>
        <v>200.00009599999998</v>
      </c>
      <c r="BT97" s="433">
        <v>2</v>
      </c>
      <c r="BU97" s="351">
        <f t="shared" si="101"/>
        <v>0.80645161290322576</v>
      </c>
      <c r="BV97" s="353">
        <f t="shared" si="102"/>
        <v>0.48</v>
      </c>
      <c r="BW97" s="453">
        <v>0.81</v>
      </c>
      <c r="BX97" s="474"/>
      <c r="BY97" s="476">
        <v>42405</v>
      </c>
      <c r="BZ97" s="662" t="s">
        <v>823</v>
      </c>
      <c r="CA97" s="665">
        <v>0.45</v>
      </c>
      <c r="CB97" s="354">
        <f t="shared" si="103"/>
        <v>42770</v>
      </c>
      <c r="CC97" s="466"/>
      <c r="CD97" s="466">
        <v>9</v>
      </c>
      <c r="CE97" s="355">
        <f t="shared" si="104"/>
        <v>52</v>
      </c>
      <c r="CF97" s="356">
        <f t="shared" si="105"/>
        <v>0</v>
      </c>
      <c r="CG97" s="348">
        <f t="shared" si="106"/>
        <v>0</v>
      </c>
      <c r="CH97" s="370">
        <f t="shared" si="107"/>
        <v>0</v>
      </c>
      <c r="CI97" s="478"/>
      <c r="CJ97" s="453">
        <v>1</v>
      </c>
      <c r="CK97" s="372">
        <f t="shared" si="112"/>
        <v>248</v>
      </c>
      <c r="CL97" s="478">
        <v>1</v>
      </c>
      <c r="CM97" s="357" t="str">
        <f t="shared" si="109"/>
        <v>Excellent coverage</v>
      </c>
      <c r="CN97" s="447">
        <v>0</v>
      </c>
      <c r="CO97" s="752" t="s">
        <v>65</v>
      </c>
      <c r="CP97" s="484"/>
    </row>
    <row r="98" spans="2:94" s="36" customFormat="1" ht="30.75" customHeight="1" x14ac:dyDescent="0.25">
      <c r="B98" s="438" t="s">
        <v>183</v>
      </c>
      <c r="C98" s="430" t="s">
        <v>678</v>
      </c>
      <c r="D98" s="430" t="s">
        <v>265</v>
      </c>
      <c r="E98" s="430" t="s">
        <v>315</v>
      </c>
      <c r="F98" s="430">
        <v>97.724483000000006</v>
      </c>
      <c r="G98" s="430">
        <v>24.205417000000001</v>
      </c>
      <c r="H98" s="430" t="s">
        <v>442</v>
      </c>
      <c r="I98" s="430" t="s">
        <v>213</v>
      </c>
      <c r="J98" s="430" t="s">
        <v>813</v>
      </c>
      <c r="K98" s="430" t="s">
        <v>800</v>
      </c>
      <c r="L98" s="722">
        <v>50</v>
      </c>
      <c r="M98" s="722">
        <v>310</v>
      </c>
      <c r="N98" s="639">
        <v>295</v>
      </c>
      <c r="O98" s="789">
        <v>310</v>
      </c>
      <c r="P98" s="796" t="str">
        <f t="shared" si="74"/>
        <v>1. Small</v>
      </c>
      <c r="Q98" s="797" t="s">
        <v>324</v>
      </c>
      <c r="R98" s="434" t="s">
        <v>234</v>
      </c>
      <c r="S98" s="792" t="s">
        <v>233</v>
      </c>
      <c r="T98" s="365" t="str">
        <f t="shared" si="75"/>
        <v>Covered</v>
      </c>
      <c r="U98" s="782">
        <v>42490</v>
      </c>
      <c r="V98" s="783" t="s">
        <v>252</v>
      </c>
      <c r="W98" s="363" t="str">
        <f t="shared" si="76"/>
        <v>Documented</v>
      </c>
      <c r="X98" s="443">
        <v>0</v>
      </c>
      <c r="Y98" s="433">
        <v>0</v>
      </c>
      <c r="Z98" s="659" t="s">
        <v>19</v>
      </c>
      <c r="AA98" s="444" t="s">
        <v>19</v>
      </c>
      <c r="AB98" s="443">
        <v>2</v>
      </c>
      <c r="AC98" s="433">
        <v>0</v>
      </c>
      <c r="AD98" s="830">
        <v>1056</v>
      </c>
      <c r="AE98" s="452">
        <v>0</v>
      </c>
      <c r="AF98" s="461">
        <v>1</v>
      </c>
      <c r="AG98" s="453" t="s">
        <v>830</v>
      </c>
      <c r="AH98" s="368">
        <f t="shared" si="77"/>
        <v>1</v>
      </c>
      <c r="AI98" s="346">
        <f t="shared" si="78"/>
        <v>310</v>
      </c>
      <c r="AJ98" s="347">
        <f t="shared" si="79"/>
        <v>1</v>
      </c>
      <c r="AK98" s="348">
        <f t="shared" si="80"/>
        <v>310</v>
      </c>
      <c r="AL98" s="345">
        <f t="shared" si="81"/>
        <v>1</v>
      </c>
      <c r="AM98" s="348">
        <f t="shared" si="82"/>
        <v>310</v>
      </c>
      <c r="AN98" s="349" t="str">
        <f t="shared" si="83"/>
        <v>80-100%</v>
      </c>
      <c r="AO98" s="345">
        <f t="shared" si="84"/>
        <v>0</v>
      </c>
      <c r="AP98" s="350">
        <f t="shared" si="85"/>
        <v>0</v>
      </c>
      <c r="AQ98" s="348">
        <f t="shared" si="86"/>
        <v>0</v>
      </c>
      <c r="AR98" s="348">
        <f t="shared" si="87"/>
        <v>50</v>
      </c>
      <c r="AS98" s="348">
        <f t="shared" si="88"/>
        <v>0</v>
      </c>
      <c r="AT98" s="461">
        <v>1</v>
      </c>
      <c r="AU98" s="459">
        <f t="shared" si="89"/>
        <v>310</v>
      </c>
      <c r="AV98" s="453"/>
      <c r="AW98" s="812">
        <v>2</v>
      </c>
      <c r="AX98" s="443">
        <v>14</v>
      </c>
      <c r="AY98" s="433"/>
      <c r="AZ98" s="433">
        <v>8</v>
      </c>
      <c r="BA98" s="431" t="s">
        <v>889</v>
      </c>
      <c r="BB98" s="444" t="s">
        <v>289</v>
      </c>
      <c r="BC98" s="810">
        <f t="shared" si="90"/>
        <v>1</v>
      </c>
      <c r="BD98" s="348">
        <f t="shared" si="91"/>
        <v>310</v>
      </c>
      <c r="BE98" s="351">
        <f t="shared" si="92"/>
        <v>0.4838709677419355</v>
      </c>
      <c r="BF98" s="348">
        <f t="shared" si="93"/>
        <v>150</v>
      </c>
      <c r="BG98" s="351">
        <f t="shared" si="94"/>
        <v>0.5161290322580645</v>
      </c>
      <c r="BH98" s="348">
        <f t="shared" si="95"/>
        <v>160</v>
      </c>
      <c r="BI98" s="466">
        <v>0</v>
      </c>
      <c r="BJ98" s="461">
        <v>1</v>
      </c>
      <c r="BK98" s="352">
        <f t="shared" si="110"/>
        <v>310</v>
      </c>
      <c r="BL98" s="353">
        <f t="shared" si="111"/>
        <v>7.5</v>
      </c>
      <c r="BM98" s="433">
        <v>3</v>
      </c>
      <c r="BN98" s="433" t="s">
        <v>290</v>
      </c>
      <c r="BO98" s="351">
        <f t="shared" si="97"/>
        <v>0.967741935483871</v>
      </c>
      <c r="BP98" s="348">
        <f t="shared" si="98"/>
        <v>300</v>
      </c>
      <c r="BQ98" s="353">
        <f t="shared" si="99"/>
        <v>0.10000000000000009</v>
      </c>
      <c r="BR98" s="467">
        <v>0.97</v>
      </c>
      <c r="BS98" s="348">
        <f t="shared" si="100"/>
        <v>300.7</v>
      </c>
      <c r="BT98" s="433">
        <v>6</v>
      </c>
      <c r="BU98" s="351">
        <f t="shared" si="101"/>
        <v>1</v>
      </c>
      <c r="BV98" s="353">
        <f t="shared" si="102"/>
        <v>0</v>
      </c>
      <c r="BW98" s="453">
        <v>1</v>
      </c>
      <c r="BX98" s="474"/>
      <c r="BY98" s="476">
        <v>42408</v>
      </c>
      <c r="BZ98" s="662" t="s">
        <v>823</v>
      </c>
      <c r="CA98" s="665">
        <v>0.45</v>
      </c>
      <c r="CB98" s="354">
        <f t="shared" si="103"/>
        <v>42773</v>
      </c>
      <c r="CC98" s="466">
        <v>46</v>
      </c>
      <c r="CD98" s="466">
        <v>9</v>
      </c>
      <c r="CE98" s="355">
        <f t="shared" si="104"/>
        <v>4</v>
      </c>
      <c r="CF98" s="356">
        <f t="shared" si="105"/>
        <v>0.92</v>
      </c>
      <c r="CG98" s="348">
        <f t="shared" si="106"/>
        <v>285.2</v>
      </c>
      <c r="CH98" s="370">
        <f t="shared" si="107"/>
        <v>0</v>
      </c>
      <c r="CI98" s="478"/>
      <c r="CJ98" s="453">
        <v>1</v>
      </c>
      <c r="CK98" s="372">
        <f t="shared" si="112"/>
        <v>310</v>
      </c>
      <c r="CL98" s="478">
        <v>3</v>
      </c>
      <c r="CM98" s="357" t="str">
        <f t="shared" si="109"/>
        <v>Excellent coverage</v>
      </c>
      <c r="CN98" s="447">
        <v>0</v>
      </c>
      <c r="CO98" s="752" t="s">
        <v>65</v>
      </c>
      <c r="CP98" s="485"/>
    </row>
    <row r="99" spans="2:94" s="36" customFormat="1" ht="30.75" customHeight="1" x14ac:dyDescent="0.25">
      <c r="B99" s="438" t="s">
        <v>183</v>
      </c>
      <c r="C99" s="430" t="s">
        <v>558</v>
      </c>
      <c r="D99" s="430" t="s">
        <v>265</v>
      </c>
      <c r="E99" s="430" t="s">
        <v>474</v>
      </c>
      <c r="F99" s="430">
        <v>97.724000000000004</v>
      </c>
      <c r="G99" s="430">
        <v>24.204999999999998</v>
      </c>
      <c r="H99" s="430" t="s">
        <v>443</v>
      </c>
      <c r="I99" s="430" t="s">
        <v>213</v>
      </c>
      <c r="J99" s="430" t="s">
        <v>813</v>
      </c>
      <c r="K99" s="430" t="s">
        <v>805</v>
      </c>
      <c r="L99" s="722">
        <v>50</v>
      </c>
      <c r="M99" s="722">
        <v>154</v>
      </c>
      <c r="N99" s="639">
        <v>136</v>
      </c>
      <c r="O99" s="789">
        <v>154</v>
      </c>
      <c r="P99" s="796" t="str">
        <f t="shared" si="74"/>
        <v>1. Small</v>
      </c>
      <c r="Q99" s="797" t="s">
        <v>324</v>
      </c>
      <c r="R99" s="434" t="s">
        <v>230</v>
      </c>
      <c r="S99" s="792" t="s">
        <v>233</v>
      </c>
      <c r="T99" s="365" t="str">
        <f t="shared" si="75"/>
        <v>Covered</v>
      </c>
      <c r="U99" s="782">
        <v>42490</v>
      </c>
      <c r="V99" s="783" t="s">
        <v>252</v>
      </c>
      <c r="W99" s="363" t="str">
        <f t="shared" si="76"/>
        <v>Documented</v>
      </c>
      <c r="X99" s="443">
        <v>0</v>
      </c>
      <c r="Y99" s="433">
        <v>0</v>
      </c>
      <c r="Z99" s="659" t="s">
        <v>19</v>
      </c>
      <c r="AA99" s="444" t="s">
        <v>19</v>
      </c>
      <c r="AB99" s="443">
        <v>0</v>
      </c>
      <c r="AC99" s="433">
        <v>0</v>
      </c>
      <c r="AD99" s="833">
        <v>1167</v>
      </c>
      <c r="AE99" s="452">
        <v>0</v>
      </c>
      <c r="AF99" s="461">
        <v>1</v>
      </c>
      <c r="AG99" s="453" t="s">
        <v>830</v>
      </c>
      <c r="AH99" s="368">
        <f t="shared" si="77"/>
        <v>0.5051948051948052</v>
      </c>
      <c r="AI99" s="346">
        <f t="shared" si="78"/>
        <v>77.8</v>
      </c>
      <c r="AJ99" s="347">
        <f t="shared" si="79"/>
        <v>0.5051948051948052</v>
      </c>
      <c r="AK99" s="348">
        <f t="shared" si="80"/>
        <v>77.8</v>
      </c>
      <c r="AL99" s="345">
        <f t="shared" si="81"/>
        <v>1</v>
      </c>
      <c r="AM99" s="348">
        <f t="shared" si="82"/>
        <v>154</v>
      </c>
      <c r="AN99" s="349" t="str">
        <f t="shared" si="83"/>
        <v>45-60%</v>
      </c>
      <c r="AO99" s="345">
        <f t="shared" si="84"/>
        <v>0</v>
      </c>
      <c r="AP99" s="350">
        <f t="shared" si="85"/>
        <v>0</v>
      </c>
      <c r="AQ99" s="348">
        <f t="shared" si="86"/>
        <v>0.38500000000000001</v>
      </c>
      <c r="AR99" s="348">
        <f t="shared" si="87"/>
        <v>50</v>
      </c>
      <c r="AS99" s="348">
        <f t="shared" si="88"/>
        <v>0</v>
      </c>
      <c r="AT99" s="461">
        <v>1</v>
      </c>
      <c r="AU99" s="459">
        <f t="shared" si="89"/>
        <v>154</v>
      </c>
      <c r="AV99" s="453" t="s">
        <v>929</v>
      </c>
      <c r="AW99" s="812">
        <v>2</v>
      </c>
      <c r="AX99" s="443">
        <v>4</v>
      </c>
      <c r="AY99" s="433"/>
      <c r="AZ99" s="433">
        <v>9</v>
      </c>
      <c r="BA99" s="431" t="s">
        <v>889</v>
      </c>
      <c r="BB99" s="444" t="s">
        <v>289</v>
      </c>
      <c r="BC99" s="810">
        <f t="shared" si="90"/>
        <v>1</v>
      </c>
      <c r="BD99" s="348">
        <f t="shared" si="91"/>
        <v>154</v>
      </c>
      <c r="BE99" s="351">
        <f t="shared" si="92"/>
        <v>0</v>
      </c>
      <c r="BF99" s="348">
        <f t="shared" si="93"/>
        <v>0</v>
      </c>
      <c r="BG99" s="351">
        <f t="shared" si="94"/>
        <v>1</v>
      </c>
      <c r="BH99" s="348">
        <f t="shared" si="95"/>
        <v>154</v>
      </c>
      <c r="BI99" s="466">
        <v>0</v>
      </c>
      <c r="BJ99" s="461">
        <v>1</v>
      </c>
      <c r="BK99" s="352">
        <f t="shared" si="110"/>
        <v>154</v>
      </c>
      <c r="BL99" s="353">
        <f t="shared" si="111"/>
        <v>0</v>
      </c>
      <c r="BM99" s="433">
        <v>2</v>
      </c>
      <c r="BN99" s="433" t="s">
        <v>290</v>
      </c>
      <c r="BO99" s="351">
        <f t="shared" si="97"/>
        <v>1</v>
      </c>
      <c r="BP99" s="348">
        <f t="shared" si="98"/>
        <v>154</v>
      </c>
      <c r="BQ99" s="353">
        <f t="shared" si="99"/>
        <v>0</v>
      </c>
      <c r="BR99" s="467">
        <v>1</v>
      </c>
      <c r="BS99" s="348">
        <f t="shared" si="100"/>
        <v>154</v>
      </c>
      <c r="BT99" s="433">
        <v>6</v>
      </c>
      <c r="BU99" s="351">
        <f t="shared" si="101"/>
        <v>1</v>
      </c>
      <c r="BV99" s="353">
        <f t="shared" si="102"/>
        <v>0</v>
      </c>
      <c r="BW99" s="453">
        <v>1</v>
      </c>
      <c r="BX99" s="474"/>
      <c r="BY99" s="476">
        <v>41584</v>
      </c>
      <c r="BZ99" s="662" t="s">
        <v>823</v>
      </c>
      <c r="CA99" s="665">
        <v>0.45</v>
      </c>
      <c r="CB99" s="354" t="str">
        <f t="shared" si="103"/>
        <v>To be realised</v>
      </c>
      <c r="CC99" s="466">
        <v>5</v>
      </c>
      <c r="CD99" s="466">
        <v>9</v>
      </c>
      <c r="CE99" s="355">
        <f t="shared" si="104"/>
        <v>50</v>
      </c>
      <c r="CF99" s="356">
        <f t="shared" si="105"/>
        <v>0</v>
      </c>
      <c r="CG99" s="348">
        <f t="shared" si="106"/>
        <v>0</v>
      </c>
      <c r="CH99" s="370">
        <f t="shared" si="107"/>
        <v>18</v>
      </c>
      <c r="CI99" s="478" t="s">
        <v>793</v>
      </c>
      <c r="CJ99" s="453">
        <v>1</v>
      </c>
      <c r="CK99" s="372">
        <f t="shared" si="112"/>
        <v>154</v>
      </c>
      <c r="CL99" s="478">
        <v>0</v>
      </c>
      <c r="CM99" s="357" t="str">
        <f t="shared" si="109"/>
        <v>No coverage</v>
      </c>
      <c r="CN99" s="447">
        <v>0</v>
      </c>
      <c r="CO99" s="752" t="s">
        <v>65</v>
      </c>
      <c r="CP99" s="485"/>
    </row>
    <row r="100" spans="2:94" s="36" customFormat="1" ht="30.75" customHeight="1" x14ac:dyDescent="0.2">
      <c r="B100" s="438" t="s">
        <v>183</v>
      </c>
      <c r="C100" s="430" t="s">
        <v>679</v>
      </c>
      <c r="D100" s="430" t="s">
        <v>265</v>
      </c>
      <c r="E100" s="430" t="s">
        <v>316</v>
      </c>
      <c r="F100" s="430">
        <v>97.710864000000001</v>
      </c>
      <c r="G100" s="430">
        <v>24.207332999999998</v>
      </c>
      <c r="H100" s="430" t="s">
        <v>442</v>
      </c>
      <c r="I100" s="430" t="s">
        <v>213</v>
      </c>
      <c r="J100" s="430" t="s">
        <v>813</v>
      </c>
      <c r="K100" s="430" t="s">
        <v>800</v>
      </c>
      <c r="L100" s="722">
        <v>39</v>
      </c>
      <c r="M100" s="722">
        <v>236</v>
      </c>
      <c r="N100" s="639">
        <v>285</v>
      </c>
      <c r="O100" s="660">
        <v>237</v>
      </c>
      <c r="P100" s="796" t="str">
        <f t="shared" si="74"/>
        <v>1. Small</v>
      </c>
      <c r="Q100" s="797" t="s">
        <v>324</v>
      </c>
      <c r="R100" s="432" t="s">
        <v>234</v>
      </c>
      <c r="S100" s="793" t="s">
        <v>233</v>
      </c>
      <c r="T100" s="365" t="str">
        <f t="shared" si="75"/>
        <v>Covered</v>
      </c>
      <c r="U100" s="437">
        <v>42490</v>
      </c>
      <c r="V100" s="784" t="s">
        <v>252</v>
      </c>
      <c r="W100" s="363" t="str">
        <f t="shared" si="76"/>
        <v>Documented</v>
      </c>
      <c r="X100" s="441">
        <v>0</v>
      </c>
      <c r="Y100" s="431">
        <v>0</v>
      </c>
      <c r="Z100" s="660" t="s">
        <v>19</v>
      </c>
      <c r="AA100" s="442" t="s">
        <v>19</v>
      </c>
      <c r="AB100" s="441">
        <v>2</v>
      </c>
      <c r="AC100" s="447">
        <v>0</v>
      </c>
      <c r="AD100" s="830">
        <v>2244</v>
      </c>
      <c r="AE100" s="454">
        <v>0</v>
      </c>
      <c r="AF100" s="463">
        <v>1</v>
      </c>
      <c r="AG100" s="455" t="s">
        <v>830</v>
      </c>
      <c r="AH100" s="368">
        <f t="shared" si="77"/>
        <v>1</v>
      </c>
      <c r="AI100" s="346">
        <f t="shared" si="78"/>
        <v>237</v>
      </c>
      <c r="AJ100" s="347">
        <f t="shared" si="79"/>
        <v>1</v>
      </c>
      <c r="AK100" s="348">
        <f t="shared" si="80"/>
        <v>237</v>
      </c>
      <c r="AL100" s="345">
        <f t="shared" si="81"/>
        <v>1</v>
      </c>
      <c r="AM100" s="348">
        <f t="shared" si="82"/>
        <v>237</v>
      </c>
      <c r="AN100" s="349" t="str">
        <f t="shared" si="83"/>
        <v>80-100%</v>
      </c>
      <c r="AO100" s="345">
        <f t="shared" si="84"/>
        <v>0</v>
      </c>
      <c r="AP100" s="350">
        <f t="shared" si="85"/>
        <v>0</v>
      </c>
      <c r="AQ100" s="348">
        <f t="shared" si="86"/>
        <v>0</v>
      </c>
      <c r="AR100" s="348">
        <f t="shared" si="87"/>
        <v>39</v>
      </c>
      <c r="AS100" s="348">
        <f t="shared" si="88"/>
        <v>0</v>
      </c>
      <c r="AT100" s="458">
        <v>1</v>
      </c>
      <c r="AU100" s="459">
        <f t="shared" si="89"/>
        <v>237</v>
      </c>
      <c r="AV100" s="462"/>
      <c r="AW100" s="813">
        <v>14</v>
      </c>
      <c r="AX100" s="443">
        <v>0</v>
      </c>
      <c r="AY100" s="433"/>
      <c r="AZ100" s="433">
        <v>18</v>
      </c>
      <c r="BA100" s="431" t="s">
        <v>889</v>
      </c>
      <c r="BB100" s="442" t="s">
        <v>289</v>
      </c>
      <c r="BC100" s="810">
        <f t="shared" si="90"/>
        <v>1</v>
      </c>
      <c r="BD100" s="348">
        <f t="shared" si="91"/>
        <v>237</v>
      </c>
      <c r="BE100" s="351">
        <f t="shared" si="92"/>
        <v>0</v>
      </c>
      <c r="BF100" s="348">
        <f t="shared" si="93"/>
        <v>0</v>
      </c>
      <c r="BG100" s="351">
        <f t="shared" si="94"/>
        <v>1</v>
      </c>
      <c r="BH100" s="348">
        <f t="shared" si="95"/>
        <v>237</v>
      </c>
      <c r="BI100" s="447">
        <v>0</v>
      </c>
      <c r="BJ100" s="463">
        <v>1</v>
      </c>
      <c r="BK100" s="352">
        <f t="shared" si="110"/>
        <v>237</v>
      </c>
      <c r="BL100" s="353">
        <f t="shared" si="111"/>
        <v>0</v>
      </c>
      <c r="BM100" s="431">
        <v>3</v>
      </c>
      <c r="BN100" s="431" t="s">
        <v>290</v>
      </c>
      <c r="BO100" s="351">
        <f t="shared" si="97"/>
        <v>1</v>
      </c>
      <c r="BP100" s="348">
        <f t="shared" si="98"/>
        <v>237</v>
      </c>
      <c r="BQ100" s="353">
        <f t="shared" si="99"/>
        <v>0</v>
      </c>
      <c r="BR100" s="463">
        <v>1</v>
      </c>
      <c r="BS100" s="348">
        <f t="shared" si="100"/>
        <v>237</v>
      </c>
      <c r="BT100" s="431">
        <v>9</v>
      </c>
      <c r="BU100" s="351">
        <f t="shared" si="101"/>
        <v>1</v>
      </c>
      <c r="BV100" s="353">
        <f t="shared" si="102"/>
        <v>0</v>
      </c>
      <c r="BW100" s="451">
        <v>1</v>
      </c>
      <c r="BX100" s="473"/>
      <c r="BY100" s="475">
        <v>42408</v>
      </c>
      <c r="BZ100" s="663" t="s">
        <v>823</v>
      </c>
      <c r="CA100" s="666">
        <v>0.45</v>
      </c>
      <c r="CB100" s="354">
        <f t="shared" si="103"/>
        <v>42773</v>
      </c>
      <c r="CC100" s="431">
        <v>36.5</v>
      </c>
      <c r="CD100" s="431">
        <v>9</v>
      </c>
      <c r="CE100" s="355">
        <f t="shared" si="104"/>
        <v>2.5</v>
      </c>
      <c r="CF100" s="356">
        <f t="shared" si="105"/>
        <v>0.9358974358974359</v>
      </c>
      <c r="CG100" s="348">
        <f t="shared" si="106"/>
        <v>221.80769230769232</v>
      </c>
      <c r="CH100" s="370">
        <f t="shared" si="107"/>
        <v>0</v>
      </c>
      <c r="CI100" s="441"/>
      <c r="CJ100" s="451">
        <v>1</v>
      </c>
      <c r="CK100" s="372">
        <f t="shared" si="112"/>
        <v>237</v>
      </c>
      <c r="CL100" s="441">
        <v>1</v>
      </c>
      <c r="CM100" s="357" t="str">
        <f t="shared" si="109"/>
        <v>Excellent coverage</v>
      </c>
      <c r="CN100" s="447">
        <v>0</v>
      </c>
      <c r="CO100" s="755" t="s">
        <v>65</v>
      </c>
      <c r="CP100" s="482"/>
    </row>
    <row r="101" spans="2:94" s="36" customFormat="1" ht="30.75" customHeight="1" x14ac:dyDescent="0.2">
      <c r="B101" s="438" t="s">
        <v>183</v>
      </c>
      <c r="C101" s="430" t="s">
        <v>560</v>
      </c>
      <c r="D101" s="430" t="s">
        <v>259</v>
      </c>
      <c r="E101" s="430" t="s">
        <v>189</v>
      </c>
      <c r="F101" s="430">
        <v>97.242360000000005</v>
      </c>
      <c r="G101" s="430">
        <v>24.264130000000002</v>
      </c>
      <c r="H101" s="430" t="s">
        <v>453</v>
      </c>
      <c r="I101" s="430" t="s">
        <v>213</v>
      </c>
      <c r="J101" s="430" t="s">
        <v>814</v>
      </c>
      <c r="K101" s="430" t="s">
        <v>801</v>
      </c>
      <c r="L101" s="722">
        <v>2</v>
      </c>
      <c r="M101" s="722">
        <v>9</v>
      </c>
      <c r="N101" s="639">
        <v>9</v>
      </c>
      <c r="O101" s="789">
        <v>9</v>
      </c>
      <c r="P101" s="796" t="str">
        <f t="shared" ref="P101:P132" si="113">IF(L101&gt;50,IF(L101&gt;250,IF(L101&gt;500,IF(L101&gt;1000,"5. Massive","4. Big"),"3. Large"),"2. Medium"),"1. Small")</f>
        <v>1. Small</v>
      </c>
      <c r="Q101" s="797"/>
      <c r="R101" s="434"/>
      <c r="S101" s="793" t="s">
        <v>299</v>
      </c>
      <c r="T101" s="365" t="str">
        <f t="shared" ref="T101:T132" si="114">IF(S101="None","Not covered","Covered")</f>
        <v>Not covered</v>
      </c>
      <c r="U101" s="437" t="s">
        <v>619</v>
      </c>
      <c r="V101" s="783" t="s">
        <v>254</v>
      </c>
      <c r="W101" s="363" t="str">
        <f t="shared" ref="W101:W132" si="115">IF(V101="Not documented","Not documented","Documented")</f>
        <v>Not documented</v>
      </c>
      <c r="X101" s="443">
        <v>0</v>
      </c>
      <c r="Y101" s="433">
        <v>0</v>
      </c>
      <c r="Z101" s="659" t="s">
        <v>19</v>
      </c>
      <c r="AA101" s="444" t="s">
        <v>19</v>
      </c>
      <c r="AB101" s="443">
        <v>0</v>
      </c>
      <c r="AC101" s="433">
        <v>0</v>
      </c>
      <c r="AD101" s="832">
        <v>0</v>
      </c>
      <c r="AE101" s="452">
        <v>0</v>
      </c>
      <c r="AF101" s="461">
        <v>0</v>
      </c>
      <c r="AG101" s="453"/>
      <c r="AH101" s="368">
        <f t="shared" ref="AH101:AH132" si="116">IF((((X101/15)+((Y101/30)/15)+AB101*400+AC101*500+(AD101/15))/O101)&gt;1,1,(((X101/15)+((Y101/30)/15)+AB101*400+AC101*500+(AD101/15))/O101))</f>
        <v>0</v>
      </c>
      <c r="AI101" s="346">
        <f t="shared" ref="AI101:AI132" si="117">AH101*O101</f>
        <v>0</v>
      </c>
      <c r="AJ101" s="347">
        <f t="shared" ref="AJ101:AJ132" si="118">IF(((AB101*400+AC101*500+(AD101/15))/O101)&gt;1,1,(AB101*400+AC101*500+(AD101/15))/O101)</f>
        <v>0</v>
      </c>
      <c r="AK101" s="348">
        <f t="shared" ref="AK101:AK132" si="119">AJ101*O101</f>
        <v>0</v>
      </c>
      <c r="AL101" s="345">
        <f t="shared" ref="AL101:AL132" si="120">IF(AF101=0,AH101,IF(AF101&lt;AH101,AH101,AF101))</f>
        <v>0</v>
      </c>
      <c r="AM101" s="348">
        <f t="shared" ref="AM101:AM132" si="121">AL101*O101</f>
        <v>0</v>
      </c>
      <c r="AN101" s="349" t="str">
        <f t="shared" ref="AN101:AN132" si="122">IF(AH101&gt;0.15,IF(AH101&gt;0.3,IF(AH101&gt;0.45,IF(AH101&gt;0.6,IF(AH101&gt;0.8,"80-100%","60-80%"),"45-60%"),"30-45%"),"15-30%"),"0-10%")</f>
        <v>0-10%</v>
      </c>
      <c r="AO101" s="345">
        <f t="shared" ref="AO101:AO132" si="123">IF((AH101-AJ101)&lt; 0, 0, AH101-AJ101)</f>
        <v>0</v>
      </c>
      <c r="AP101" s="350">
        <f t="shared" ref="AP101:AP132" si="124">AO101*O101</f>
        <v>0</v>
      </c>
      <c r="AQ101" s="348">
        <f t="shared" ref="AQ101:AQ132" si="125">IF(O101/400-(AB101+AC101)&lt;0,0,O101/400-(AB101+AC101))</f>
        <v>2.2499999999999999E-2</v>
      </c>
      <c r="AR101" s="348">
        <f t="shared" ref="AR101:AR132" si="126">AF101*L101</f>
        <v>0</v>
      </c>
      <c r="AS101" s="348">
        <f t="shared" ref="AS101:AS132" si="127">AE101*O101</f>
        <v>0</v>
      </c>
      <c r="AT101" s="461">
        <v>0</v>
      </c>
      <c r="AU101" s="459">
        <f t="shared" ref="AU101:AU132" si="128">AT101*O101</f>
        <v>0</v>
      </c>
      <c r="AV101" s="453"/>
      <c r="AW101" s="812">
        <v>23</v>
      </c>
      <c r="AX101" s="443">
        <v>0</v>
      </c>
      <c r="AY101" s="433"/>
      <c r="AZ101" s="433">
        <v>0</v>
      </c>
      <c r="BA101" s="433" t="s">
        <v>889</v>
      </c>
      <c r="BB101" s="444" t="s">
        <v>290</v>
      </c>
      <c r="BC101" s="810">
        <f t="shared" ref="BC101:BC132" si="129">IF((((AX101+AZ101)*20)/O101)&gt;1,1,(((AX101+AZ101)*20)/O101))</f>
        <v>0</v>
      </c>
      <c r="BD101" s="348">
        <f t="shared" ref="BD101:BD132" si="130">BC101*O101</f>
        <v>0</v>
      </c>
      <c r="BE101" s="351">
        <f t="shared" ref="BE101:BE132" si="131">BC101-BG101</f>
        <v>0</v>
      </c>
      <c r="BF101" s="348">
        <f t="shared" ref="BF101:BF132" si="132">BE101*O101</f>
        <v>0</v>
      </c>
      <c r="BG101" s="351">
        <f t="shared" ref="BG101:BG132" si="133">IF(((AZ101*20)/O101)&gt;1,1,((AZ101*20)/O101))</f>
        <v>0</v>
      </c>
      <c r="BH101" s="348">
        <f t="shared" ref="BH101:BH132" si="134">BG101*O101</f>
        <v>0</v>
      </c>
      <c r="BI101" s="466">
        <v>0</v>
      </c>
      <c r="BJ101" s="461">
        <v>0</v>
      </c>
      <c r="BK101" s="352">
        <f t="shared" si="110"/>
        <v>0</v>
      </c>
      <c r="BL101" s="353">
        <f t="shared" si="111"/>
        <v>0.45</v>
      </c>
      <c r="BM101" s="433">
        <v>0</v>
      </c>
      <c r="BN101" s="433" t="s">
        <v>89</v>
      </c>
      <c r="BO101" s="351">
        <f t="shared" ref="BO101:BO132" si="135">IF((BM101*100/O101)&gt;1,1,(BM101*100/O101))</f>
        <v>0</v>
      </c>
      <c r="BP101" s="348">
        <f t="shared" ref="BP101:BP132" si="136">BO101*O101</f>
        <v>0</v>
      </c>
      <c r="BQ101" s="353">
        <f t="shared" ref="BQ101:BQ132" si="137">IF(M101/100-BM101&lt;0,0,M101/100-BM101)</f>
        <v>0.09</v>
      </c>
      <c r="BR101" s="467">
        <v>0</v>
      </c>
      <c r="BS101" s="348">
        <f t="shared" ref="BS101:BS132" si="138">BR101*O101</f>
        <v>0</v>
      </c>
      <c r="BT101" s="433">
        <v>0</v>
      </c>
      <c r="BU101" s="351">
        <f t="shared" ref="BU101:BU132" si="139">IF((BT101*100/O101)&gt;1,1,(BT101*100/O101))</f>
        <v>0</v>
      </c>
      <c r="BV101" s="353">
        <f t="shared" ref="BV101:BV132" si="140">IF(M101/100-BT101&lt;0,0,M101/100-BT101)</f>
        <v>0.09</v>
      </c>
      <c r="BW101" s="453">
        <v>0</v>
      </c>
      <c r="BX101" s="474"/>
      <c r="BY101" s="476"/>
      <c r="BZ101" s="662" t="s">
        <v>825</v>
      </c>
      <c r="CA101" s="666">
        <v>0</v>
      </c>
      <c r="CB101" s="354" t="str">
        <f t="shared" ref="CB101:CB132" si="141">IF(BY101="","To be realised",IF(BY101="n/a","n/a",IF(BY101+365&lt;$E$2,"To be realised",BY101+365)))</f>
        <v>To be realised</v>
      </c>
      <c r="CC101" s="466">
        <v>0</v>
      </c>
      <c r="CD101" s="466">
        <v>0</v>
      </c>
      <c r="CE101" s="355">
        <f t="shared" ref="CE101:CE132" si="142">IF(CB101="n/a",0,IF(CB101="To be realised",L101,IF((L101-CC101)&lt;0,0,(L101-CC101))))</f>
        <v>2</v>
      </c>
      <c r="CF101" s="356">
        <f t="shared" ref="CF101:CF132" si="143">IF(CE101=0,1,(L101-CE101)/L101)</f>
        <v>0</v>
      </c>
      <c r="CG101" s="348">
        <f t="shared" ref="CG101:CG132" si="144">CF101*O101</f>
        <v>0</v>
      </c>
      <c r="CH101" s="370" t="str">
        <f t="shared" ref="CH101:CH132" si="145">IF(BY101="","Column BN to be completed", IF(BY101="n/a",0,IF(($E$2-BY101-30)/30-CD101&lt;0,0,ROUND((($E$2-BY101-30)/30-CD101),0))))</f>
        <v>Column BN to be completed</v>
      </c>
      <c r="CI101" s="478"/>
      <c r="CJ101" s="453">
        <v>0</v>
      </c>
      <c r="CK101" s="372">
        <f t="shared" si="112"/>
        <v>0</v>
      </c>
      <c r="CL101" s="478">
        <v>0</v>
      </c>
      <c r="CM101" s="357" t="str">
        <f t="shared" ref="CM101:CM132" si="146">IF(CL101=0,"No coverage",IF(O101/CL101&gt;1000,"Low coverage",IF(O101/CL101&gt;750,"Average coverage",IF(O101/CL101&gt;500,"Good coverage","Excellent coverage"))))</f>
        <v>No coverage</v>
      </c>
      <c r="CN101" s="447">
        <v>0</v>
      </c>
      <c r="CO101" s="752" t="s">
        <v>65</v>
      </c>
      <c r="CP101" s="484"/>
    </row>
    <row r="102" spans="2:94" s="36" customFormat="1" ht="30.75" customHeight="1" x14ac:dyDescent="0.25">
      <c r="B102" s="438" t="s">
        <v>183</v>
      </c>
      <c r="C102" s="430" t="s">
        <v>561</v>
      </c>
      <c r="D102" s="430" t="s">
        <v>259</v>
      </c>
      <c r="E102" s="430" t="s">
        <v>217</v>
      </c>
      <c r="F102" s="430">
        <v>97.325019999999995</v>
      </c>
      <c r="G102" s="430">
        <v>24.245100000000001</v>
      </c>
      <c r="H102" s="430" t="s">
        <v>442</v>
      </c>
      <c r="I102" s="430" t="s">
        <v>213</v>
      </c>
      <c r="J102" s="430" t="s">
        <v>813</v>
      </c>
      <c r="K102" s="430" t="s">
        <v>800</v>
      </c>
      <c r="L102" s="722">
        <v>265</v>
      </c>
      <c r="M102" s="722">
        <v>1084</v>
      </c>
      <c r="N102" s="639">
        <v>218</v>
      </c>
      <c r="O102" s="789">
        <v>218</v>
      </c>
      <c r="P102" s="796" t="str">
        <f t="shared" si="113"/>
        <v>3. Large</v>
      </c>
      <c r="Q102" s="797" t="s">
        <v>937</v>
      </c>
      <c r="R102" s="434" t="s">
        <v>230</v>
      </c>
      <c r="S102" s="792" t="s">
        <v>232</v>
      </c>
      <c r="T102" s="365" t="str">
        <f t="shared" si="114"/>
        <v>Covered</v>
      </c>
      <c r="U102" s="437">
        <v>42521</v>
      </c>
      <c r="V102" s="783" t="s">
        <v>252</v>
      </c>
      <c r="W102" s="363" t="str">
        <f t="shared" si="115"/>
        <v>Documented</v>
      </c>
      <c r="X102" s="443">
        <v>0</v>
      </c>
      <c r="Y102" s="433">
        <v>0</v>
      </c>
      <c r="Z102" s="659" t="s">
        <v>19</v>
      </c>
      <c r="AA102" s="444" t="s">
        <v>19</v>
      </c>
      <c r="AB102" s="443">
        <v>1</v>
      </c>
      <c r="AC102" s="433">
        <v>0</v>
      </c>
      <c r="AD102" s="832">
        <v>52740</v>
      </c>
      <c r="AE102" s="452">
        <v>0.2</v>
      </c>
      <c r="AF102" s="461">
        <v>0</v>
      </c>
      <c r="AG102" s="453"/>
      <c r="AH102" s="368">
        <f t="shared" si="116"/>
        <v>1</v>
      </c>
      <c r="AI102" s="346">
        <f t="shared" si="117"/>
        <v>218</v>
      </c>
      <c r="AJ102" s="347">
        <f t="shared" si="118"/>
        <v>1</v>
      </c>
      <c r="AK102" s="348">
        <f t="shared" si="119"/>
        <v>218</v>
      </c>
      <c r="AL102" s="345">
        <f t="shared" si="120"/>
        <v>1</v>
      </c>
      <c r="AM102" s="348">
        <f t="shared" si="121"/>
        <v>218</v>
      </c>
      <c r="AN102" s="349" t="str">
        <f t="shared" si="122"/>
        <v>80-100%</v>
      </c>
      <c r="AO102" s="345">
        <f t="shared" si="123"/>
        <v>0</v>
      </c>
      <c r="AP102" s="350">
        <f t="shared" si="124"/>
        <v>0</v>
      </c>
      <c r="AQ102" s="348">
        <f t="shared" si="125"/>
        <v>0</v>
      </c>
      <c r="AR102" s="348">
        <f t="shared" si="126"/>
        <v>0</v>
      </c>
      <c r="AS102" s="348">
        <f t="shared" si="127"/>
        <v>43.6</v>
      </c>
      <c r="AT102" s="461">
        <v>1</v>
      </c>
      <c r="AU102" s="459">
        <f t="shared" si="128"/>
        <v>218</v>
      </c>
      <c r="AV102" s="453"/>
      <c r="AW102" s="812">
        <v>0</v>
      </c>
      <c r="AX102" s="443">
        <v>0</v>
      </c>
      <c r="AY102" s="433"/>
      <c r="AZ102" s="433">
        <v>57</v>
      </c>
      <c r="BA102" s="433" t="s">
        <v>888</v>
      </c>
      <c r="BB102" s="444" t="s">
        <v>289</v>
      </c>
      <c r="BC102" s="810">
        <f t="shared" si="129"/>
        <v>1</v>
      </c>
      <c r="BD102" s="348">
        <f t="shared" si="130"/>
        <v>218</v>
      </c>
      <c r="BE102" s="351">
        <f t="shared" si="131"/>
        <v>0</v>
      </c>
      <c r="BF102" s="348">
        <f t="shared" si="132"/>
        <v>0</v>
      </c>
      <c r="BG102" s="351">
        <f t="shared" si="133"/>
        <v>1</v>
      </c>
      <c r="BH102" s="348">
        <f t="shared" si="134"/>
        <v>218</v>
      </c>
      <c r="BI102" s="466">
        <v>2</v>
      </c>
      <c r="BJ102" s="461">
        <v>1</v>
      </c>
      <c r="BK102" s="352">
        <f t="shared" si="110"/>
        <v>218</v>
      </c>
      <c r="BL102" s="353">
        <f t="shared" si="111"/>
        <v>0</v>
      </c>
      <c r="BM102" s="433">
        <v>7</v>
      </c>
      <c r="BN102" s="433" t="s">
        <v>291</v>
      </c>
      <c r="BO102" s="351">
        <f t="shared" si="135"/>
        <v>1</v>
      </c>
      <c r="BP102" s="348">
        <f t="shared" si="136"/>
        <v>218</v>
      </c>
      <c r="BQ102" s="353">
        <f t="shared" si="137"/>
        <v>3.84</v>
      </c>
      <c r="BR102" s="467">
        <v>1</v>
      </c>
      <c r="BS102" s="348">
        <f t="shared" si="138"/>
        <v>218</v>
      </c>
      <c r="BT102" s="433">
        <v>13</v>
      </c>
      <c r="BU102" s="351">
        <f t="shared" si="139"/>
        <v>1</v>
      </c>
      <c r="BV102" s="353">
        <f t="shared" si="140"/>
        <v>0</v>
      </c>
      <c r="BW102" s="453">
        <v>1</v>
      </c>
      <c r="BX102" s="474"/>
      <c r="BY102" s="476">
        <v>41768</v>
      </c>
      <c r="BZ102" s="662" t="s">
        <v>821</v>
      </c>
      <c r="CA102" s="665">
        <v>0</v>
      </c>
      <c r="CB102" s="354" t="str">
        <f t="shared" si="141"/>
        <v>To be realised</v>
      </c>
      <c r="CC102" s="466">
        <v>153</v>
      </c>
      <c r="CD102" s="466">
        <v>10</v>
      </c>
      <c r="CE102" s="355">
        <f t="shared" si="142"/>
        <v>265</v>
      </c>
      <c r="CF102" s="356">
        <f t="shared" si="143"/>
        <v>0</v>
      </c>
      <c r="CG102" s="348">
        <f t="shared" si="144"/>
        <v>0</v>
      </c>
      <c r="CH102" s="370">
        <f t="shared" si="145"/>
        <v>11</v>
      </c>
      <c r="CI102" s="478"/>
      <c r="CJ102" s="453">
        <v>0.85</v>
      </c>
      <c r="CK102" s="372">
        <f t="shared" si="112"/>
        <v>185.29999999999998</v>
      </c>
      <c r="CL102" s="478">
        <v>2</v>
      </c>
      <c r="CM102" s="357" t="str">
        <f t="shared" si="146"/>
        <v>Excellent coverage</v>
      </c>
      <c r="CN102" s="447">
        <v>0</v>
      </c>
      <c r="CO102" s="752" t="s">
        <v>292</v>
      </c>
      <c r="CP102" s="485"/>
    </row>
    <row r="103" spans="2:94" s="36" customFormat="1" ht="30.75" customHeight="1" x14ac:dyDescent="0.2">
      <c r="B103" s="438" t="s">
        <v>183</v>
      </c>
      <c r="C103" s="430" t="s">
        <v>564</v>
      </c>
      <c r="D103" s="430" t="s">
        <v>259</v>
      </c>
      <c r="E103" s="430" t="s">
        <v>458</v>
      </c>
      <c r="F103" s="430">
        <v>97.337649999999996</v>
      </c>
      <c r="G103" s="430">
        <v>24.242049999999999</v>
      </c>
      <c r="H103" s="430" t="s">
        <v>442</v>
      </c>
      <c r="I103" s="430" t="s">
        <v>213</v>
      </c>
      <c r="J103" s="430" t="s">
        <v>813</v>
      </c>
      <c r="K103" s="430" t="s">
        <v>800</v>
      </c>
      <c r="L103" s="722">
        <v>74</v>
      </c>
      <c r="M103" s="722">
        <v>406</v>
      </c>
      <c r="N103" s="639">
        <v>406</v>
      </c>
      <c r="O103" s="660">
        <v>405</v>
      </c>
      <c r="P103" s="796" t="str">
        <f t="shared" si="113"/>
        <v>2. Medium</v>
      </c>
      <c r="Q103" s="797" t="s">
        <v>322</v>
      </c>
      <c r="R103" s="432" t="s">
        <v>234</v>
      </c>
      <c r="S103" s="793" t="s">
        <v>233</v>
      </c>
      <c r="T103" s="365" t="str">
        <f t="shared" si="114"/>
        <v>Covered</v>
      </c>
      <c r="U103" s="437">
        <v>42521</v>
      </c>
      <c r="V103" s="784" t="s">
        <v>252</v>
      </c>
      <c r="W103" s="363" t="str">
        <f t="shared" si="115"/>
        <v>Documented</v>
      </c>
      <c r="X103" s="441">
        <v>0</v>
      </c>
      <c r="Y103" s="431">
        <v>0</v>
      </c>
      <c r="Z103" s="660" t="s">
        <v>19</v>
      </c>
      <c r="AA103" s="442" t="s">
        <v>19</v>
      </c>
      <c r="AB103" s="441">
        <v>0</v>
      </c>
      <c r="AC103" s="447">
        <v>0</v>
      </c>
      <c r="AD103" s="833">
        <v>27000</v>
      </c>
      <c r="AE103" s="454">
        <v>1</v>
      </c>
      <c r="AF103" s="463">
        <v>1</v>
      </c>
      <c r="AG103" s="455" t="s">
        <v>830</v>
      </c>
      <c r="AH103" s="368">
        <f t="shared" si="116"/>
        <v>1</v>
      </c>
      <c r="AI103" s="346">
        <f t="shared" si="117"/>
        <v>405</v>
      </c>
      <c r="AJ103" s="347">
        <f t="shared" si="118"/>
        <v>1</v>
      </c>
      <c r="AK103" s="348">
        <f t="shared" si="119"/>
        <v>405</v>
      </c>
      <c r="AL103" s="345">
        <f t="shared" si="120"/>
        <v>1</v>
      </c>
      <c r="AM103" s="348">
        <f t="shared" si="121"/>
        <v>405</v>
      </c>
      <c r="AN103" s="349" t="str">
        <f t="shared" si="122"/>
        <v>80-100%</v>
      </c>
      <c r="AO103" s="345">
        <f t="shared" si="123"/>
        <v>0</v>
      </c>
      <c r="AP103" s="350">
        <f t="shared" si="124"/>
        <v>0</v>
      </c>
      <c r="AQ103" s="348">
        <f t="shared" si="125"/>
        <v>1.0125</v>
      </c>
      <c r="AR103" s="348">
        <f t="shared" si="126"/>
        <v>74</v>
      </c>
      <c r="AS103" s="348">
        <f t="shared" si="127"/>
        <v>405</v>
      </c>
      <c r="AT103" s="458">
        <v>1</v>
      </c>
      <c r="AU103" s="459">
        <f t="shared" si="128"/>
        <v>405</v>
      </c>
      <c r="AV103" s="448" t="s">
        <v>779</v>
      </c>
      <c r="AW103" s="813">
        <v>0</v>
      </c>
      <c r="AX103" s="443">
        <v>0</v>
      </c>
      <c r="AY103" s="433"/>
      <c r="AZ103" s="433">
        <v>18</v>
      </c>
      <c r="BA103" s="431" t="s">
        <v>889</v>
      </c>
      <c r="BB103" s="442" t="s">
        <v>289</v>
      </c>
      <c r="BC103" s="810">
        <f t="shared" si="129"/>
        <v>0.88888888888888884</v>
      </c>
      <c r="BD103" s="348">
        <f t="shared" si="130"/>
        <v>360</v>
      </c>
      <c r="BE103" s="351">
        <f t="shared" si="131"/>
        <v>0</v>
      </c>
      <c r="BF103" s="348">
        <f t="shared" si="132"/>
        <v>0</v>
      </c>
      <c r="BG103" s="351">
        <f t="shared" si="133"/>
        <v>0.88888888888888884</v>
      </c>
      <c r="BH103" s="348">
        <f t="shared" si="134"/>
        <v>360</v>
      </c>
      <c r="BI103" s="447">
        <v>0</v>
      </c>
      <c r="BJ103" s="463">
        <v>0.89</v>
      </c>
      <c r="BK103" s="352">
        <f t="shared" ref="BK103:BK134" si="147">BJ103*O103</f>
        <v>360.45</v>
      </c>
      <c r="BL103" s="353">
        <f t="shared" ref="BL103:BL134" si="148">IF((O103/20-AZ103+BI103)&lt;0,0,(O103/20-AZ103+BI103))</f>
        <v>2.25</v>
      </c>
      <c r="BM103" s="431">
        <v>3</v>
      </c>
      <c r="BN103" s="431" t="s">
        <v>290</v>
      </c>
      <c r="BO103" s="351">
        <f t="shared" si="135"/>
        <v>0.7407407407407407</v>
      </c>
      <c r="BP103" s="348">
        <f t="shared" si="136"/>
        <v>300</v>
      </c>
      <c r="BQ103" s="353">
        <f t="shared" si="137"/>
        <v>1.0599999999999996</v>
      </c>
      <c r="BR103" s="463">
        <v>0.73892000000000002</v>
      </c>
      <c r="BS103" s="348">
        <f t="shared" si="138"/>
        <v>299.26260000000002</v>
      </c>
      <c r="BT103" s="431">
        <v>6</v>
      </c>
      <c r="BU103" s="351">
        <f t="shared" si="139"/>
        <v>1</v>
      </c>
      <c r="BV103" s="353">
        <f t="shared" si="140"/>
        <v>0</v>
      </c>
      <c r="BW103" s="451">
        <v>1</v>
      </c>
      <c r="BX103" s="473"/>
      <c r="BY103" s="475">
        <v>42404</v>
      </c>
      <c r="BZ103" s="663" t="s">
        <v>823</v>
      </c>
      <c r="CA103" s="666">
        <v>0.45</v>
      </c>
      <c r="CB103" s="354">
        <f t="shared" si="141"/>
        <v>42769</v>
      </c>
      <c r="CC103" s="431">
        <v>67</v>
      </c>
      <c r="CD103" s="431">
        <v>9</v>
      </c>
      <c r="CE103" s="355">
        <f t="shared" si="142"/>
        <v>7</v>
      </c>
      <c r="CF103" s="356">
        <f t="shared" si="143"/>
        <v>0.90540540540540537</v>
      </c>
      <c r="CG103" s="348">
        <f t="shared" si="144"/>
        <v>366.68918918918916</v>
      </c>
      <c r="CH103" s="370">
        <f t="shared" si="145"/>
        <v>0</v>
      </c>
      <c r="CI103" s="441"/>
      <c r="CJ103" s="451">
        <v>1</v>
      </c>
      <c r="CK103" s="372">
        <f t="shared" ref="CK103:CK134" si="149">CJ103*O103</f>
        <v>405</v>
      </c>
      <c r="CL103" s="441">
        <v>3</v>
      </c>
      <c r="CM103" s="357" t="str">
        <f t="shared" si="146"/>
        <v>Excellent coverage</v>
      </c>
      <c r="CN103" s="447">
        <v>0</v>
      </c>
      <c r="CO103" s="753" t="s">
        <v>65</v>
      </c>
      <c r="CP103" s="482"/>
    </row>
    <row r="104" spans="2:94" s="36" customFormat="1" ht="30.75" customHeight="1" x14ac:dyDescent="0.2">
      <c r="B104" s="438" t="s">
        <v>183</v>
      </c>
      <c r="C104" s="430" t="s">
        <v>562</v>
      </c>
      <c r="D104" s="430" t="s">
        <v>259</v>
      </c>
      <c r="E104" s="430" t="s">
        <v>190</v>
      </c>
      <c r="F104" s="430">
        <v>97.321659999999994</v>
      </c>
      <c r="G104" s="430">
        <v>24.41</v>
      </c>
      <c r="H104" s="430" t="s">
        <v>453</v>
      </c>
      <c r="I104" s="430" t="s">
        <v>213</v>
      </c>
      <c r="J104" s="430" t="s">
        <v>814</v>
      </c>
      <c r="K104" s="430" t="s">
        <v>801</v>
      </c>
      <c r="L104" s="722">
        <v>28</v>
      </c>
      <c r="M104" s="722">
        <v>136</v>
      </c>
      <c r="N104" s="639">
        <v>136</v>
      </c>
      <c r="O104" s="789">
        <v>136</v>
      </c>
      <c r="P104" s="796" t="str">
        <f t="shared" si="113"/>
        <v>1. Small</v>
      </c>
      <c r="Q104" s="797"/>
      <c r="R104" s="434"/>
      <c r="S104" s="793" t="s">
        <v>299</v>
      </c>
      <c r="T104" s="365" t="str">
        <f t="shared" si="114"/>
        <v>Not covered</v>
      </c>
      <c r="U104" s="437" t="s">
        <v>619</v>
      </c>
      <c r="V104" s="783" t="s">
        <v>254</v>
      </c>
      <c r="W104" s="363" t="str">
        <f t="shared" si="115"/>
        <v>Not documented</v>
      </c>
      <c r="X104" s="443">
        <v>0</v>
      </c>
      <c r="Y104" s="433">
        <v>0</v>
      </c>
      <c r="Z104" s="659" t="s">
        <v>19</v>
      </c>
      <c r="AA104" s="444" t="s">
        <v>19</v>
      </c>
      <c r="AB104" s="443">
        <v>0</v>
      </c>
      <c r="AC104" s="433">
        <v>0</v>
      </c>
      <c r="AD104" s="832">
        <v>0</v>
      </c>
      <c r="AE104" s="452">
        <v>0</v>
      </c>
      <c r="AF104" s="461">
        <v>0</v>
      </c>
      <c r="AG104" s="453"/>
      <c r="AH104" s="368">
        <f t="shared" si="116"/>
        <v>0</v>
      </c>
      <c r="AI104" s="346">
        <f t="shared" si="117"/>
        <v>0</v>
      </c>
      <c r="AJ104" s="347">
        <f t="shared" si="118"/>
        <v>0</v>
      </c>
      <c r="AK104" s="348">
        <f t="shared" si="119"/>
        <v>0</v>
      </c>
      <c r="AL104" s="345">
        <f t="shared" si="120"/>
        <v>0</v>
      </c>
      <c r="AM104" s="348">
        <f t="shared" si="121"/>
        <v>0</v>
      </c>
      <c r="AN104" s="349" t="str">
        <f t="shared" si="122"/>
        <v>0-10%</v>
      </c>
      <c r="AO104" s="345">
        <f t="shared" si="123"/>
        <v>0</v>
      </c>
      <c r="AP104" s="350">
        <f t="shared" si="124"/>
        <v>0</v>
      </c>
      <c r="AQ104" s="348">
        <f t="shared" si="125"/>
        <v>0.34</v>
      </c>
      <c r="AR104" s="348">
        <f t="shared" si="126"/>
        <v>0</v>
      </c>
      <c r="AS104" s="348">
        <f t="shared" si="127"/>
        <v>0</v>
      </c>
      <c r="AT104" s="461">
        <v>0</v>
      </c>
      <c r="AU104" s="459">
        <f t="shared" si="128"/>
        <v>0</v>
      </c>
      <c r="AV104" s="453"/>
      <c r="AW104" s="812">
        <v>88</v>
      </c>
      <c r="AX104" s="443">
        <v>0</v>
      </c>
      <c r="AY104" s="433"/>
      <c r="AZ104" s="433">
        <v>0</v>
      </c>
      <c r="BA104" s="433" t="s">
        <v>888</v>
      </c>
      <c r="BB104" s="444" t="s">
        <v>89</v>
      </c>
      <c r="BC104" s="810">
        <f t="shared" si="129"/>
        <v>0</v>
      </c>
      <c r="BD104" s="348">
        <f t="shared" si="130"/>
        <v>0</v>
      </c>
      <c r="BE104" s="351">
        <f t="shared" si="131"/>
        <v>0</v>
      </c>
      <c r="BF104" s="348">
        <f t="shared" si="132"/>
        <v>0</v>
      </c>
      <c r="BG104" s="351">
        <f t="shared" si="133"/>
        <v>0</v>
      </c>
      <c r="BH104" s="348">
        <f t="shared" si="134"/>
        <v>0</v>
      </c>
      <c r="BI104" s="466">
        <v>0</v>
      </c>
      <c r="BJ104" s="461">
        <v>0</v>
      </c>
      <c r="BK104" s="352">
        <f t="shared" si="147"/>
        <v>0</v>
      </c>
      <c r="BL104" s="353">
        <f t="shared" si="148"/>
        <v>6.8</v>
      </c>
      <c r="BM104" s="433">
        <v>0</v>
      </c>
      <c r="BN104" s="433" t="s">
        <v>89</v>
      </c>
      <c r="BO104" s="351">
        <f t="shared" si="135"/>
        <v>0</v>
      </c>
      <c r="BP104" s="348">
        <f t="shared" si="136"/>
        <v>0</v>
      </c>
      <c r="BQ104" s="353">
        <f t="shared" si="137"/>
        <v>1.36</v>
      </c>
      <c r="BR104" s="467">
        <v>0</v>
      </c>
      <c r="BS104" s="348">
        <f t="shared" si="138"/>
        <v>0</v>
      </c>
      <c r="BT104" s="433">
        <v>0</v>
      </c>
      <c r="BU104" s="351">
        <f t="shared" si="139"/>
        <v>0</v>
      </c>
      <c r="BV104" s="353">
        <f t="shared" si="140"/>
        <v>1.36</v>
      </c>
      <c r="BW104" s="453">
        <v>0</v>
      </c>
      <c r="BX104" s="474"/>
      <c r="BY104" s="476"/>
      <c r="BZ104" s="662" t="s">
        <v>825</v>
      </c>
      <c r="CA104" s="666">
        <v>0</v>
      </c>
      <c r="CB104" s="354" t="str">
        <f t="shared" si="141"/>
        <v>To be realised</v>
      </c>
      <c r="CC104" s="466">
        <v>0</v>
      </c>
      <c r="CD104" s="466">
        <v>0</v>
      </c>
      <c r="CE104" s="355">
        <f t="shared" si="142"/>
        <v>28</v>
      </c>
      <c r="CF104" s="356">
        <f t="shared" si="143"/>
        <v>0</v>
      </c>
      <c r="CG104" s="348">
        <f t="shared" si="144"/>
        <v>0</v>
      </c>
      <c r="CH104" s="370" t="str">
        <f t="shared" si="145"/>
        <v>Column BN to be completed</v>
      </c>
      <c r="CI104" s="478"/>
      <c r="CJ104" s="453">
        <v>0</v>
      </c>
      <c r="CK104" s="372">
        <f t="shared" si="149"/>
        <v>0</v>
      </c>
      <c r="CL104" s="478">
        <v>0</v>
      </c>
      <c r="CM104" s="357" t="str">
        <f t="shared" si="146"/>
        <v>No coverage</v>
      </c>
      <c r="CN104" s="447">
        <v>0</v>
      </c>
      <c r="CO104" s="752" t="s">
        <v>292</v>
      </c>
      <c r="CP104" s="484"/>
    </row>
    <row r="105" spans="2:94" s="36" customFormat="1" ht="30.75" customHeight="1" x14ac:dyDescent="0.2">
      <c r="B105" s="438" t="s">
        <v>183</v>
      </c>
      <c r="C105" s="430" t="s">
        <v>563</v>
      </c>
      <c r="D105" s="430" t="s">
        <v>259</v>
      </c>
      <c r="E105" s="430" t="s">
        <v>191</v>
      </c>
      <c r="F105" s="430">
        <v>97.346940000000004</v>
      </c>
      <c r="G105" s="430">
        <v>24.251860000000001</v>
      </c>
      <c r="H105" s="430" t="s">
        <v>442</v>
      </c>
      <c r="I105" s="430" t="s">
        <v>213</v>
      </c>
      <c r="J105" s="430" t="s">
        <v>812</v>
      </c>
      <c r="K105" s="430" t="s">
        <v>800</v>
      </c>
      <c r="L105" s="722">
        <v>4</v>
      </c>
      <c r="M105" s="722">
        <v>16</v>
      </c>
      <c r="N105" s="639">
        <v>17</v>
      </c>
      <c r="O105" s="789">
        <v>17</v>
      </c>
      <c r="P105" s="796" t="str">
        <f t="shared" si="113"/>
        <v>1. Small</v>
      </c>
      <c r="Q105" s="797" t="s">
        <v>937</v>
      </c>
      <c r="R105" s="434" t="s">
        <v>275</v>
      </c>
      <c r="S105" s="792" t="s">
        <v>232</v>
      </c>
      <c r="T105" s="365" t="str">
        <f t="shared" si="114"/>
        <v>Covered</v>
      </c>
      <c r="U105" s="437">
        <v>42521</v>
      </c>
      <c r="V105" s="783" t="s">
        <v>252</v>
      </c>
      <c r="W105" s="363" t="str">
        <f t="shared" si="115"/>
        <v>Documented</v>
      </c>
      <c r="X105" s="443">
        <v>0</v>
      </c>
      <c r="Y105" s="433">
        <v>0</v>
      </c>
      <c r="Z105" s="659" t="s">
        <v>19</v>
      </c>
      <c r="AA105" s="444" t="s">
        <v>19</v>
      </c>
      <c r="AB105" s="443">
        <v>2</v>
      </c>
      <c r="AC105" s="433">
        <v>0</v>
      </c>
      <c r="AD105" s="832">
        <v>720</v>
      </c>
      <c r="AE105" s="452">
        <v>0</v>
      </c>
      <c r="AF105" s="461">
        <v>0</v>
      </c>
      <c r="AG105" s="453"/>
      <c r="AH105" s="368">
        <f t="shared" si="116"/>
        <v>1</v>
      </c>
      <c r="AI105" s="346">
        <f t="shared" si="117"/>
        <v>17</v>
      </c>
      <c r="AJ105" s="347">
        <f t="shared" si="118"/>
        <v>1</v>
      </c>
      <c r="AK105" s="348">
        <f t="shared" si="119"/>
        <v>17</v>
      </c>
      <c r="AL105" s="345">
        <f t="shared" si="120"/>
        <v>1</v>
      </c>
      <c r="AM105" s="348">
        <f t="shared" si="121"/>
        <v>17</v>
      </c>
      <c r="AN105" s="349" t="str">
        <f t="shared" si="122"/>
        <v>80-100%</v>
      </c>
      <c r="AO105" s="345">
        <f t="shared" si="123"/>
        <v>0</v>
      </c>
      <c r="AP105" s="350">
        <f t="shared" si="124"/>
        <v>0</v>
      </c>
      <c r="AQ105" s="348">
        <f t="shared" si="125"/>
        <v>0</v>
      </c>
      <c r="AR105" s="348">
        <f t="shared" si="126"/>
        <v>0</v>
      </c>
      <c r="AS105" s="348">
        <f t="shared" si="127"/>
        <v>0</v>
      </c>
      <c r="AT105" s="461">
        <v>1</v>
      </c>
      <c r="AU105" s="459">
        <f t="shared" si="128"/>
        <v>17</v>
      </c>
      <c r="AV105" s="453"/>
      <c r="AW105" s="812">
        <v>63</v>
      </c>
      <c r="AX105" s="443">
        <v>0</v>
      </c>
      <c r="AY105" s="433"/>
      <c r="AZ105" s="433">
        <v>4</v>
      </c>
      <c r="BA105" s="433" t="s">
        <v>889</v>
      </c>
      <c r="BB105" s="444" t="s">
        <v>89</v>
      </c>
      <c r="BC105" s="810">
        <f t="shared" si="129"/>
        <v>1</v>
      </c>
      <c r="BD105" s="348">
        <f t="shared" si="130"/>
        <v>17</v>
      </c>
      <c r="BE105" s="351">
        <f t="shared" si="131"/>
        <v>0</v>
      </c>
      <c r="BF105" s="348">
        <f t="shared" si="132"/>
        <v>0</v>
      </c>
      <c r="BG105" s="351">
        <f t="shared" si="133"/>
        <v>1</v>
      </c>
      <c r="BH105" s="348">
        <f t="shared" si="134"/>
        <v>17</v>
      </c>
      <c r="BI105" s="466">
        <v>0</v>
      </c>
      <c r="BJ105" s="461">
        <v>1</v>
      </c>
      <c r="BK105" s="352">
        <f t="shared" si="147"/>
        <v>17</v>
      </c>
      <c r="BL105" s="353">
        <f t="shared" si="148"/>
        <v>0</v>
      </c>
      <c r="BM105" s="433">
        <v>2</v>
      </c>
      <c r="BN105" s="433" t="s">
        <v>290</v>
      </c>
      <c r="BO105" s="351">
        <f t="shared" si="135"/>
        <v>1</v>
      </c>
      <c r="BP105" s="348">
        <f t="shared" si="136"/>
        <v>17</v>
      </c>
      <c r="BQ105" s="353">
        <f t="shared" si="137"/>
        <v>0</v>
      </c>
      <c r="BR105" s="467">
        <v>1</v>
      </c>
      <c r="BS105" s="348">
        <f t="shared" si="138"/>
        <v>17</v>
      </c>
      <c r="BT105" s="433">
        <v>1</v>
      </c>
      <c r="BU105" s="351">
        <f t="shared" si="139"/>
        <v>1</v>
      </c>
      <c r="BV105" s="353">
        <f t="shared" si="140"/>
        <v>0</v>
      </c>
      <c r="BW105" s="453">
        <v>1</v>
      </c>
      <c r="BX105" s="474"/>
      <c r="BY105" s="476">
        <v>41771</v>
      </c>
      <c r="BZ105" s="662" t="s">
        <v>821</v>
      </c>
      <c r="CA105" s="665">
        <v>0</v>
      </c>
      <c r="CB105" s="354" t="str">
        <f t="shared" si="141"/>
        <v>To be realised</v>
      </c>
      <c r="CC105" s="466">
        <v>4</v>
      </c>
      <c r="CD105" s="466">
        <v>10</v>
      </c>
      <c r="CE105" s="355">
        <f t="shared" si="142"/>
        <v>4</v>
      </c>
      <c r="CF105" s="356">
        <f t="shared" si="143"/>
        <v>0</v>
      </c>
      <c r="CG105" s="348">
        <f t="shared" si="144"/>
        <v>0</v>
      </c>
      <c r="CH105" s="370">
        <f t="shared" si="145"/>
        <v>11</v>
      </c>
      <c r="CI105" s="478"/>
      <c r="CJ105" s="453">
        <v>0.8</v>
      </c>
      <c r="CK105" s="372">
        <f t="shared" si="149"/>
        <v>13.600000000000001</v>
      </c>
      <c r="CL105" s="478">
        <v>0</v>
      </c>
      <c r="CM105" s="357" t="str">
        <f t="shared" si="146"/>
        <v>No coverage</v>
      </c>
      <c r="CN105" s="447">
        <v>0</v>
      </c>
      <c r="CO105" s="752" t="s">
        <v>292</v>
      </c>
      <c r="CP105" s="484"/>
    </row>
    <row r="106" spans="2:94" s="36" customFormat="1" ht="30.75" customHeight="1" x14ac:dyDescent="0.25">
      <c r="B106" s="438" t="s">
        <v>183</v>
      </c>
      <c r="C106" s="430" t="s">
        <v>564</v>
      </c>
      <c r="D106" s="430" t="s">
        <v>259</v>
      </c>
      <c r="E106" s="430" t="s">
        <v>192</v>
      </c>
      <c r="F106" s="430">
        <v>97.344359999999995</v>
      </c>
      <c r="G106" s="430">
        <v>24.250689999999999</v>
      </c>
      <c r="H106" s="430" t="s">
        <v>442</v>
      </c>
      <c r="I106" s="430" t="s">
        <v>213</v>
      </c>
      <c r="J106" s="430" t="s">
        <v>812</v>
      </c>
      <c r="K106" s="430" t="s">
        <v>800</v>
      </c>
      <c r="L106" s="722">
        <v>413</v>
      </c>
      <c r="M106" s="722">
        <v>1835</v>
      </c>
      <c r="N106" s="639">
        <v>306</v>
      </c>
      <c r="O106" s="789">
        <v>306</v>
      </c>
      <c r="P106" s="796" t="str">
        <f t="shared" si="113"/>
        <v>3. Large</v>
      </c>
      <c r="Q106" s="797" t="s">
        <v>937</v>
      </c>
      <c r="R106" s="434" t="s">
        <v>234</v>
      </c>
      <c r="S106" s="792" t="s">
        <v>232</v>
      </c>
      <c r="T106" s="365" t="str">
        <f t="shared" si="114"/>
        <v>Covered</v>
      </c>
      <c r="U106" s="437">
        <v>42521</v>
      </c>
      <c r="V106" s="783" t="s">
        <v>252</v>
      </c>
      <c r="W106" s="363" t="str">
        <f t="shared" si="115"/>
        <v>Documented</v>
      </c>
      <c r="X106" s="443">
        <v>0</v>
      </c>
      <c r="Y106" s="433">
        <v>0</v>
      </c>
      <c r="Z106" s="659" t="s">
        <v>18</v>
      </c>
      <c r="AA106" s="444" t="s">
        <v>19</v>
      </c>
      <c r="AB106" s="443">
        <v>1</v>
      </c>
      <c r="AC106" s="433">
        <v>0</v>
      </c>
      <c r="AD106" s="832">
        <v>15020</v>
      </c>
      <c r="AE106" s="452">
        <v>0.1</v>
      </c>
      <c r="AF106" s="461">
        <v>0.01</v>
      </c>
      <c r="AG106" s="453" t="s">
        <v>830</v>
      </c>
      <c r="AH106" s="368">
        <f t="shared" si="116"/>
        <v>1</v>
      </c>
      <c r="AI106" s="346">
        <f t="shared" si="117"/>
        <v>306</v>
      </c>
      <c r="AJ106" s="347">
        <f t="shared" si="118"/>
        <v>1</v>
      </c>
      <c r="AK106" s="348">
        <f t="shared" si="119"/>
        <v>306</v>
      </c>
      <c r="AL106" s="345">
        <f t="shared" si="120"/>
        <v>1</v>
      </c>
      <c r="AM106" s="348">
        <f t="shared" si="121"/>
        <v>306</v>
      </c>
      <c r="AN106" s="349" t="str">
        <f t="shared" si="122"/>
        <v>80-100%</v>
      </c>
      <c r="AO106" s="345">
        <f t="shared" si="123"/>
        <v>0</v>
      </c>
      <c r="AP106" s="350">
        <f t="shared" si="124"/>
        <v>0</v>
      </c>
      <c r="AQ106" s="348">
        <f t="shared" si="125"/>
        <v>0</v>
      </c>
      <c r="AR106" s="348">
        <f t="shared" si="126"/>
        <v>4.13</v>
      </c>
      <c r="AS106" s="348">
        <f t="shared" si="127"/>
        <v>30.6</v>
      </c>
      <c r="AT106" s="461">
        <v>1</v>
      </c>
      <c r="AU106" s="459">
        <f t="shared" si="128"/>
        <v>306</v>
      </c>
      <c r="AV106" s="453" t="s">
        <v>834</v>
      </c>
      <c r="AW106" s="812">
        <v>0</v>
      </c>
      <c r="AX106" s="443">
        <v>10</v>
      </c>
      <c r="AY106" s="433"/>
      <c r="AZ106" s="433">
        <v>10</v>
      </c>
      <c r="BA106" s="433" t="s">
        <v>889</v>
      </c>
      <c r="BB106" s="444" t="s">
        <v>89</v>
      </c>
      <c r="BC106" s="810">
        <f t="shared" si="129"/>
        <v>1</v>
      </c>
      <c r="BD106" s="348">
        <f t="shared" si="130"/>
        <v>306</v>
      </c>
      <c r="BE106" s="351">
        <f t="shared" si="131"/>
        <v>0.34640522875816993</v>
      </c>
      <c r="BF106" s="348">
        <f t="shared" si="132"/>
        <v>106</v>
      </c>
      <c r="BG106" s="351">
        <f t="shared" si="133"/>
        <v>0.65359477124183007</v>
      </c>
      <c r="BH106" s="348">
        <f t="shared" si="134"/>
        <v>200</v>
      </c>
      <c r="BI106" s="466">
        <v>0</v>
      </c>
      <c r="BJ106" s="461">
        <v>1</v>
      </c>
      <c r="BK106" s="352">
        <f t="shared" si="147"/>
        <v>306</v>
      </c>
      <c r="BL106" s="353">
        <f t="shared" si="148"/>
        <v>5.3000000000000007</v>
      </c>
      <c r="BM106" s="433">
        <v>3</v>
      </c>
      <c r="BN106" s="433" t="s">
        <v>290</v>
      </c>
      <c r="BO106" s="351">
        <f t="shared" si="135"/>
        <v>0.98039215686274506</v>
      </c>
      <c r="BP106" s="348">
        <f t="shared" si="136"/>
        <v>300</v>
      </c>
      <c r="BQ106" s="353">
        <f t="shared" si="137"/>
        <v>15.350000000000001</v>
      </c>
      <c r="BR106" s="467">
        <v>0.98</v>
      </c>
      <c r="BS106" s="348">
        <f t="shared" si="138"/>
        <v>299.88</v>
      </c>
      <c r="BT106" s="433">
        <v>7</v>
      </c>
      <c r="BU106" s="351">
        <f t="shared" si="139"/>
        <v>1</v>
      </c>
      <c r="BV106" s="353">
        <f t="shared" si="140"/>
        <v>11.350000000000001</v>
      </c>
      <c r="BW106" s="453">
        <v>1</v>
      </c>
      <c r="BX106" s="474"/>
      <c r="BY106" s="476">
        <v>41768</v>
      </c>
      <c r="BZ106" s="662" t="s">
        <v>821</v>
      </c>
      <c r="CA106" s="665">
        <v>0</v>
      </c>
      <c r="CB106" s="354" t="str">
        <f t="shared" si="141"/>
        <v>To be realised</v>
      </c>
      <c r="CC106" s="466">
        <v>209</v>
      </c>
      <c r="CD106" s="466">
        <v>10</v>
      </c>
      <c r="CE106" s="355">
        <f t="shared" si="142"/>
        <v>413</v>
      </c>
      <c r="CF106" s="356">
        <f t="shared" si="143"/>
        <v>0</v>
      </c>
      <c r="CG106" s="348">
        <f t="shared" si="144"/>
        <v>0</v>
      </c>
      <c r="CH106" s="370">
        <f t="shared" si="145"/>
        <v>11</v>
      </c>
      <c r="CI106" s="478"/>
      <c r="CJ106" s="453">
        <v>0.75</v>
      </c>
      <c r="CK106" s="372">
        <f t="shared" si="149"/>
        <v>229.5</v>
      </c>
      <c r="CL106" s="478">
        <v>1</v>
      </c>
      <c r="CM106" s="357" t="str">
        <f t="shared" si="146"/>
        <v>Excellent coverage</v>
      </c>
      <c r="CN106" s="447">
        <v>0</v>
      </c>
      <c r="CO106" s="752" t="s">
        <v>65</v>
      </c>
      <c r="CP106" s="485"/>
    </row>
    <row r="107" spans="2:94" s="36" customFormat="1" ht="30.75" customHeight="1" x14ac:dyDescent="0.2">
      <c r="B107" s="438" t="s">
        <v>183</v>
      </c>
      <c r="C107" s="430" t="s">
        <v>553</v>
      </c>
      <c r="D107" s="430" t="s">
        <v>259</v>
      </c>
      <c r="E107" s="430" t="s">
        <v>707</v>
      </c>
      <c r="F107" s="430">
        <v>97.344350000000006</v>
      </c>
      <c r="G107" s="430">
        <v>24.25067</v>
      </c>
      <c r="H107" s="430" t="s">
        <v>453</v>
      </c>
      <c r="I107" s="430" t="s">
        <v>213</v>
      </c>
      <c r="J107" s="430" t="s">
        <v>812</v>
      </c>
      <c r="K107" s="430" t="s">
        <v>801</v>
      </c>
      <c r="L107" s="722">
        <v>320</v>
      </c>
      <c r="M107" s="722">
        <v>1125</v>
      </c>
      <c r="N107" s="639">
        <v>1504</v>
      </c>
      <c r="O107" s="789">
        <v>1504</v>
      </c>
      <c r="P107" s="796" t="str">
        <f t="shared" si="113"/>
        <v>3. Large</v>
      </c>
      <c r="Q107" s="797"/>
      <c r="R107" s="434"/>
      <c r="S107" s="793" t="s">
        <v>299</v>
      </c>
      <c r="T107" s="365" t="str">
        <f t="shared" si="114"/>
        <v>Not covered</v>
      </c>
      <c r="U107" s="437" t="s">
        <v>619</v>
      </c>
      <c r="V107" s="783" t="s">
        <v>254</v>
      </c>
      <c r="W107" s="363" t="str">
        <f t="shared" si="115"/>
        <v>Not documented</v>
      </c>
      <c r="X107" s="443">
        <v>0</v>
      </c>
      <c r="Y107" s="433">
        <v>0</v>
      </c>
      <c r="Z107" s="659" t="s">
        <v>19</v>
      </c>
      <c r="AA107" s="444" t="s">
        <v>19</v>
      </c>
      <c r="AB107" s="443">
        <v>150</v>
      </c>
      <c r="AC107" s="433">
        <v>63</v>
      </c>
      <c r="AD107" s="832">
        <v>0</v>
      </c>
      <c r="AE107" s="452">
        <v>0</v>
      </c>
      <c r="AF107" s="461">
        <v>0</v>
      </c>
      <c r="AG107" s="453"/>
      <c r="AH107" s="368">
        <f t="shared" si="116"/>
        <v>1</v>
      </c>
      <c r="AI107" s="346">
        <f t="shared" si="117"/>
        <v>1504</v>
      </c>
      <c r="AJ107" s="347">
        <f t="shared" si="118"/>
        <v>1</v>
      </c>
      <c r="AK107" s="348">
        <f t="shared" si="119"/>
        <v>1504</v>
      </c>
      <c r="AL107" s="345">
        <f t="shared" si="120"/>
        <v>1</v>
      </c>
      <c r="AM107" s="348">
        <f t="shared" si="121"/>
        <v>1504</v>
      </c>
      <c r="AN107" s="349" t="str">
        <f t="shared" si="122"/>
        <v>80-100%</v>
      </c>
      <c r="AO107" s="345">
        <f t="shared" si="123"/>
        <v>0</v>
      </c>
      <c r="AP107" s="350">
        <f t="shared" si="124"/>
        <v>0</v>
      </c>
      <c r="AQ107" s="348">
        <f t="shared" si="125"/>
        <v>0</v>
      </c>
      <c r="AR107" s="348">
        <f t="shared" si="126"/>
        <v>0</v>
      </c>
      <c r="AS107" s="348">
        <f t="shared" si="127"/>
        <v>0</v>
      </c>
      <c r="AT107" s="461">
        <v>1</v>
      </c>
      <c r="AU107" s="459">
        <f t="shared" si="128"/>
        <v>1504</v>
      </c>
      <c r="AV107" s="453"/>
      <c r="AW107" s="812">
        <v>50</v>
      </c>
      <c r="AX107" s="443">
        <v>276</v>
      </c>
      <c r="AY107" s="433"/>
      <c r="AZ107" s="433">
        <v>9</v>
      </c>
      <c r="BA107" s="433" t="s">
        <v>888</v>
      </c>
      <c r="BB107" s="444" t="s">
        <v>89</v>
      </c>
      <c r="BC107" s="810">
        <f t="shared" si="129"/>
        <v>1</v>
      </c>
      <c r="BD107" s="348">
        <f t="shared" si="130"/>
        <v>1504</v>
      </c>
      <c r="BE107" s="351">
        <f t="shared" si="131"/>
        <v>0.88031914893617025</v>
      </c>
      <c r="BF107" s="348">
        <f t="shared" si="132"/>
        <v>1324</v>
      </c>
      <c r="BG107" s="351">
        <f t="shared" si="133"/>
        <v>0.11968085106382979</v>
      </c>
      <c r="BH107" s="348">
        <f t="shared" si="134"/>
        <v>180</v>
      </c>
      <c r="BI107" s="466">
        <v>0</v>
      </c>
      <c r="BJ107" s="461">
        <v>1</v>
      </c>
      <c r="BK107" s="352">
        <f t="shared" si="147"/>
        <v>1504</v>
      </c>
      <c r="BL107" s="353">
        <f t="shared" si="148"/>
        <v>66.2</v>
      </c>
      <c r="BM107" s="433">
        <v>213</v>
      </c>
      <c r="BN107" s="433" t="s">
        <v>89</v>
      </c>
      <c r="BO107" s="351">
        <f t="shared" si="135"/>
        <v>1</v>
      </c>
      <c r="BP107" s="348">
        <f t="shared" si="136"/>
        <v>1504</v>
      </c>
      <c r="BQ107" s="353">
        <f t="shared" si="137"/>
        <v>0</v>
      </c>
      <c r="BR107" s="467">
        <v>1</v>
      </c>
      <c r="BS107" s="348">
        <f t="shared" si="138"/>
        <v>1504</v>
      </c>
      <c r="BT107" s="433">
        <v>0</v>
      </c>
      <c r="BU107" s="351">
        <f t="shared" si="139"/>
        <v>0</v>
      </c>
      <c r="BV107" s="353">
        <f t="shared" si="140"/>
        <v>11.25</v>
      </c>
      <c r="BW107" s="453">
        <v>0</v>
      </c>
      <c r="BX107" s="474"/>
      <c r="BY107" s="476">
        <v>41992</v>
      </c>
      <c r="BZ107" s="662" t="s">
        <v>820</v>
      </c>
      <c r="CA107" s="665">
        <v>0.85</v>
      </c>
      <c r="CB107" s="354" t="str">
        <f t="shared" si="141"/>
        <v>To be realised</v>
      </c>
      <c r="CC107" s="466">
        <v>351</v>
      </c>
      <c r="CD107" s="466">
        <v>0</v>
      </c>
      <c r="CE107" s="355">
        <f t="shared" si="142"/>
        <v>320</v>
      </c>
      <c r="CF107" s="356">
        <f t="shared" si="143"/>
        <v>0</v>
      </c>
      <c r="CG107" s="348">
        <f t="shared" si="144"/>
        <v>0</v>
      </c>
      <c r="CH107" s="370">
        <f t="shared" si="145"/>
        <v>14</v>
      </c>
      <c r="CI107" s="478"/>
      <c r="CJ107" s="453">
        <v>0</v>
      </c>
      <c r="CK107" s="372">
        <f t="shared" si="149"/>
        <v>0</v>
      </c>
      <c r="CL107" s="478">
        <v>4</v>
      </c>
      <c r="CM107" s="357" t="str">
        <f t="shared" si="146"/>
        <v>Excellent coverage</v>
      </c>
      <c r="CN107" s="447">
        <v>0</v>
      </c>
      <c r="CO107" s="752" t="s">
        <v>66</v>
      </c>
      <c r="CP107" s="484"/>
    </row>
    <row r="108" spans="2:94" s="36" customFormat="1" ht="30.75" customHeight="1" x14ac:dyDescent="0.2">
      <c r="B108" s="438" t="s">
        <v>183</v>
      </c>
      <c r="C108" s="430" t="s">
        <v>565</v>
      </c>
      <c r="D108" s="430" t="s">
        <v>259</v>
      </c>
      <c r="E108" s="430" t="s">
        <v>193</v>
      </c>
      <c r="F108" s="430">
        <v>97.406239999999997</v>
      </c>
      <c r="G108" s="430">
        <v>24.40457</v>
      </c>
      <c r="H108" s="430" t="s">
        <v>453</v>
      </c>
      <c r="I108" s="430" t="s">
        <v>213</v>
      </c>
      <c r="J108" s="430" t="s">
        <v>814</v>
      </c>
      <c r="K108" s="430" t="s">
        <v>801</v>
      </c>
      <c r="L108" s="722">
        <v>13</v>
      </c>
      <c r="M108" s="722">
        <v>53</v>
      </c>
      <c r="N108" s="639">
        <v>53</v>
      </c>
      <c r="O108" s="789">
        <v>53</v>
      </c>
      <c r="P108" s="796" t="str">
        <f t="shared" si="113"/>
        <v>1. Small</v>
      </c>
      <c r="Q108" s="797"/>
      <c r="R108" s="434"/>
      <c r="S108" s="793" t="s">
        <v>299</v>
      </c>
      <c r="T108" s="365" t="str">
        <f t="shared" si="114"/>
        <v>Not covered</v>
      </c>
      <c r="U108" s="437" t="s">
        <v>619</v>
      </c>
      <c r="V108" s="783" t="s">
        <v>254</v>
      </c>
      <c r="W108" s="363" t="str">
        <f t="shared" si="115"/>
        <v>Not documented</v>
      </c>
      <c r="X108" s="443">
        <v>0</v>
      </c>
      <c r="Y108" s="433">
        <v>0</v>
      </c>
      <c r="Z108" s="659" t="s">
        <v>19</v>
      </c>
      <c r="AA108" s="444" t="s">
        <v>19</v>
      </c>
      <c r="AB108" s="443">
        <v>0</v>
      </c>
      <c r="AC108" s="433">
        <v>0</v>
      </c>
      <c r="AD108" s="832">
        <v>0</v>
      </c>
      <c r="AE108" s="452">
        <v>0</v>
      </c>
      <c r="AF108" s="461">
        <v>0</v>
      </c>
      <c r="AG108" s="453"/>
      <c r="AH108" s="368">
        <f t="shared" si="116"/>
        <v>0</v>
      </c>
      <c r="AI108" s="346">
        <f t="shared" si="117"/>
        <v>0</v>
      </c>
      <c r="AJ108" s="347">
        <f t="shared" si="118"/>
        <v>0</v>
      </c>
      <c r="AK108" s="348">
        <f t="shared" si="119"/>
        <v>0</v>
      </c>
      <c r="AL108" s="345">
        <f t="shared" si="120"/>
        <v>0</v>
      </c>
      <c r="AM108" s="348">
        <f t="shared" si="121"/>
        <v>0</v>
      </c>
      <c r="AN108" s="349" t="str">
        <f t="shared" si="122"/>
        <v>0-10%</v>
      </c>
      <c r="AO108" s="345">
        <f t="shared" si="123"/>
        <v>0</v>
      </c>
      <c r="AP108" s="350">
        <f t="shared" si="124"/>
        <v>0</v>
      </c>
      <c r="AQ108" s="348">
        <f t="shared" si="125"/>
        <v>0.13250000000000001</v>
      </c>
      <c r="AR108" s="348">
        <f t="shared" si="126"/>
        <v>0</v>
      </c>
      <c r="AS108" s="348">
        <f t="shared" si="127"/>
        <v>0</v>
      </c>
      <c r="AT108" s="461">
        <v>0</v>
      </c>
      <c r="AU108" s="459">
        <f t="shared" si="128"/>
        <v>0</v>
      </c>
      <c r="AV108" s="453"/>
      <c r="AW108" s="812">
        <v>84</v>
      </c>
      <c r="AX108" s="443">
        <v>0</v>
      </c>
      <c r="AY108" s="433"/>
      <c r="AZ108" s="433">
        <v>0</v>
      </c>
      <c r="BA108" s="433" t="s">
        <v>888</v>
      </c>
      <c r="BB108" s="444" t="s">
        <v>89</v>
      </c>
      <c r="BC108" s="810">
        <f t="shared" si="129"/>
        <v>0</v>
      </c>
      <c r="BD108" s="348">
        <f t="shared" si="130"/>
        <v>0</v>
      </c>
      <c r="BE108" s="351">
        <f t="shared" si="131"/>
        <v>0</v>
      </c>
      <c r="BF108" s="348">
        <f t="shared" si="132"/>
        <v>0</v>
      </c>
      <c r="BG108" s="351">
        <f t="shared" si="133"/>
        <v>0</v>
      </c>
      <c r="BH108" s="348">
        <f t="shared" si="134"/>
        <v>0</v>
      </c>
      <c r="BI108" s="466">
        <v>0</v>
      </c>
      <c r="BJ108" s="461">
        <v>0</v>
      </c>
      <c r="BK108" s="352">
        <f t="shared" si="147"/>
        <v>0</v>
      </c>
      <c r="BL108" s="353">
        <f t="shared" si="148"/>
        <v>2.65</v>
      </c>
      <c r="BM108" s="433">
        <v>0</v>
      </c>
      <c r="BN108" s="433" t="s">
        <v>89</v>
      </c>
      <c r="BO108" s="351">
        <f t="shared" si="135"/>
        <v>0</v>
      </c>
      <c r="BP108" s="348">
        <f t="shared" si="136"/>
        <v>0</v>
      </c>
      <c r="BQ108" s="353">
        <f t="shared" si="137"/>
        <v>0.53</v>
      </c>
      <c r="BR108" s="467">
        <v>0</v>
      </c>
      <c r="BS108" s="348">
        <f t="shared" si="138"/>
        <v>0</v>
      </c>
      <c r="BT108" s="433">
        <v>0</v>
      </c>
      <c r="BU108" s="351">
        <f t="shared" si="139"/>
        <v>0</v>
      </c>
      <c r="BV108" s="353">
        <f t="shared" si="140"/>
        <v>0.53</v>
      </c>
      <c r="BW108" s="453">
        <v>0</v>
      </c>
      <c r="BX108" s="474"/>
      <c r="BY108" s="476"/>
      <c r="BZ108" s="662" t="s">
        <v>825</v>
      </c>
      <c r="CA108" s="666">
        <v>0</v>
      </c>
      <c r="CB108" s="354" t="str">
        <f t="shared" si="141"/>
        <v>To be realised</v>
      </c>
      <c r="CC108" s="466">
        <v>0</v>
      </c>
      <c r="CD108" s="466">
        <v>0</v>
      </c>
      <c r="CE108" s="355">
        <f t="shared" si="142"/>
        <v>13</v>
      </c>
      <c r="CF108" s="356">
        <f t="shared" si="143"/>
        <v>0</v>
      </c>
      <c r="CG108" s="348">
        <f t="shared" si="144"/>
        <v>0</v>
      </c>
      <c r="CH108" s="370" t="str">
        <f t="shared" si="145"/>
        <v>Column BN to be completed</v>
      </c>
      <c r="CI108" s="478"/>
      <c r="CJ108" s="453">
        <v>0</v>
      </c>
      <c r="CK108" s="372">
        <f t="shared" si="149"/>
        <v>0</v>
      </c>
      <c r="CL108" s="478">
        <v>9</v>
      </c>
      <c r="CM108" s="357" t="str">
        <f t="shared" si="146"/>
        <v>Excellent coverage</v>
      </c>
      <c r="CN108" s="447">
        <v>0</v>
      </c>
      <c r="CO108" s="752" t="s">
        <v>66</v>
      </c>
      <c r="CP108" s="484"/>
    </row>
    <row r="109" spans="2:94" s="36" customFormat="1" ht="30.75" customHeight="1" x14ac:dyDescent="0.2">
      <c r="B109" s="438" t="s">
        <v>183</v>
      </c>
      <c r="C109" s="430" t="s">
        <v>680</v>
      </c>
      <c r="D109" s="430" t="s">
        <v>265</v>
      </c>
      <c r="E109" s="430" t="s">
        <v>186</v>
      </c>
      <c r="F109" s="430">
        <v>97.669366999999994</v>
      </c>
      <c r="G109" s="430">
        <v>24.378167000000001</v>
      </c>
      <c r="H109" s="430" t="s">
        <v>442</v>
      </c>
      <c r="I109" s="430" t="s">
        <v>221</v>
      </c>
      <c r="J109" s="430" t="s">
        <v>814</v>
      </c>
      <c r="K109" s="430" t="s">
        <v>800</v>
      </c>
      <c r="L109" s="722">
        <v>412</v>
      </c>
      <c r="M109" s="722">
        <v>1700</v>
      </c>
      <c r="N109" s="639">
        <v>1633</v>
      </c>
      <c r="O109" s="789">
        <v>1633</v>
      </c>
      <c r="P109" s="796" t="str">
        <f t="shared" si="113"/>
        <v>3. Large</v>
      </c>
      <c r="Q109" s="797" t="s">
        <v>253</v>
      </c>
      <c r="R109" s="434" t="s">
        <v>230</v>
      </c>
      <c r="S109" s="792" t="s">
        <v>284</v>
      </c>
      <c r="T109" s="365" t="str">
        <f t="shared" si="114"/>
        <v>Covered</v>
      </c>
      <c r="U109" s="437">
        <v>42613</v>
      </c>
      <c r="V109" s="783" t="s">
        <v>252</v>
      </c>
      <c r="W109" s="363" t="str">
        <f t="shared" si="115"/>
        <v>Documented</v>
      </c>
      <c r="X109" s="443">
        <v>0</v>
      </c>
      <c r="Y109" s="433">
        <v>0</v>
      </c>
      <c r="Z109" s="659" t="s">
        <v>19</v>
      </c>
      <c r="AA109" s="444" t="s">
        <v>19</v>
      </c>
      <c r="AB109" s="443">
        <v>0</v>
      </c>
      <c r="AC109" s="433">
        <v>0</v>
      </c>
      <c r="AD109" s="832">
        <v>216000</v>
      </c>
      <c r="AE109" s="452">
        <v>0</v>
      </c>
      <c r="AF109" s="461">
        <v>1</v>
      </c>
      <c r="AG109" s="453" t="s">
        <v>831</v>
      </c>
      <c r="AH109" s="368">
        <f t="shared" si="116"/>
        <v>1</v>
      </c>
      <c r="AI109" s="346">
        <f t="shared" si="117"/>
        <v>1633</v>
      </c>
      <c r="AJ109" s="347">
        <f t="shared" si="118"/>
        <v>1</v>
      </c>
      <c r="AK109" s="348">
        <f t="shared" si="119"/>
        <v>1633</v>
      </c>
      <c r="AL109" s="345">
        <f t="shared" si="120"/>
        <v>1</v>
      </c>
      <c r="AM109" s="348">
        <f t="shared" si="121"/>
        <v>1633</v>
      </c>
      <c r="AN109" s="349" t="str">
        <f t="shared" si="122"/>
        <v>80-100%</v>
      </c>
      <c r="AO109" s="345">
        <f t="shared" si="123"/>
        <v>0</v>
      </c>
      <c r="AP109" s="350">
        <f t="shared" si="124"/>
        <v>0</v>
      </c>
      <c r="AQ109" s="348">
        <f t="shared" si="125"/>
        <v>4.0824999999999996</v>
      </c>
      <c r="AR109" s="348">
        <f t="shared" si="126"/>
        <v>412</v>
      </c>
      <c r="AS109" s="348">
        <f t="shared" si="127"/>
        <v>0</v>
      </c>
      <c r="AT109" s="461">
        <v>1</v>
      </c>
      <c r="AU109" s="459">
        <f t="shared" si="128"/>
        <v>1633</v>
      </c>
      <c r="AV109" s="453"/>
      <c r="AW109" s="812">
        <v>10</v>
      </c>
      <c r="AX109" s="443">
        <v>50</v>
      </c>
      <c r="AY109" s="433"/>
      <c r="AZ109" s="433">
        <v>54</v>
      </c>
      <c r="BA109" s="433" t="s">
        <v>889</v>
      </c>
      <c r="BB109" s="444" t="s">
        <v>89</v>
      </c>
      <c r="BC109" s="810">
        <f t="shared" si="129"/>
        <v>1</v>
      </c>
      <c r="BD109" s="348">
        <f t="shared" si="130"/>
        <v>1633</v>
      </c>
      <c r="BE109" s="351">
        <f t="shared" si="131"/>
        <v>0.33864053888548684</v>
      </c>
      <c r="BF109" s="348">
        <f t="shared" si="132"/>
        <v>553</v>
      </c>
      <c r="BG109" s="351">
        <f t="shared" si="133"/>
        <v>0.66135946111451316</v>
      </c>
      <c r="BH109" s="348">
        <f t="shared" si="134"/>
        <v>1080</v>
      </c>
      <c r="BI109" s="466">
        <v>18</v>
      </c>
      <c r="BJ109" s="461">
        <v>1</v>
      </c>
      <c r="BK109" s="352">
        <f t="shared" si="147"/>
        <v>1633</v>
      </c>
      <c r="BL109" s="353">
        <f t="shared" si="148"/>
        <v>45.650000000000006</v>
      </c>
      <c r="BM109" s="433">
        <v>7</v>
      </c>
      <c r="BN109" s="433" t="s">
        <v>89</v>
      </c>
      <c r="BO109" s="351">
        <f t="shared" si="135"/>
        <v>0.42865890998162892</v>
      </c>
      <c r="BP109" s="348">
        <f t="shared" si="136"/>
        <v>700</v>
      </c>
      <c r="BQ109" s="353">
        <f t="shared" si="137"/>
        <v>10</v>
      </c>
      <c r="BR109" s="467">
        <v>0.43</v>
      </c>
      <c r="BS109" s="348">
        <f t="shared" si="138"/>
        <v>702.18999999999994</v>
      </c>
      <c r="BT109" s="433">
        <v>10</v>
      </c>
      <c r="BU109" s="351">
        <f t="shared" si="139"/>
        <v>0.61236987140232702</v>
      </c>
      <c r="BV109" s="353">
        <f t="shared" si="140"/>
        <v>7</v>
      </c>
      <c r="BW109" s="453">
        <v>0.61</v>
      </c>
      <c r="BX109" s="474"/>
      <c r="BY109" s="476">
        <v>41996</v>
      </c>
      <c r="BZ109" s="662" t="s">
        <v>820</v>
      </c>
      <c r="CA109" s="665">
        <v>0</v>
      </c>
      <c r="CB109" s="354" t="str">
        <f t="shared" si="141"/>
        <v>To be realised</v>
      </c>
      <c r="CC109" s="466">
        <v>378</v>
      </c>
      <c r="CD109" s="466">
        <v>0</v>
      </c>
      <c r="CE109" s="355">
        <f t="shared" si="142"/>
        <v>412</v>
      </c>
      <c r="CF109" s="356">
        <f t="shared" si="143"/>
        <v>0</v>
      </c>
      <c r="CG109" s="348">
        <f t="shared" si="144"/>
        <v>0</v>
      </c>
      <c r="CH109" s="370">
        <f t="shared" si="145"/>
        <v>13</v>
      </c>
      <c r="CI109" s="478"/>
      <c r="CJ109" s="453">
        <v>1</v>
      </c>
      <c r="CK109" s="372">
        <f t="shared" si="149"/>
        <v>1633</v>
      </c>
      <c r="CL109" s="478">
        <v>14</v>
      </c>
      <c r="CM109" s="357" t="str">
        <f t="shared" si="146"/>
        <v>Excellent coverage</v>
      </c>
      <c r="CN109" s="447">
        <v>0</v>
      </c>
      <c r="CO109" s="752" t="s">
        <v>292</v>
      </c>
      <c r="CP109" s="484"/>
    </row>
    <row r="110" spans="2:94" s="36" customFormat="1" ht="30.75" customHeight="1" x14ac:dyDescent="0.2">
      <c r="B110" s="438" t="s">
        <v>183</v>
      </c>
      <c r="C110" s="430" t="s">
        <v>566</v>
      </c>
      <c r="D110" s="430" t="s">
        <v>259</v>
      </c>
      <c r="E110" s="430" t="s">
        <v>194</v>
      </c>
      <c r="F110" s="430">
        <v>97.347740000000002</v>
      </c>
      <c r="G110" s="430">
        <v>24.253769999999999</v>
      </c>
      <c r="H110" s="430" t="s">
        <v>442</v>
      </c>
      <c r="I110" s="430" t="s">
        <v>213</v>
      </c>
      <c r="J110" s="430" t="s">
        <v>814</v>
      </c>
      <c r="K110" s="430" t="s">
        <v>800</v>
      </c>
      <c r="L110" s="722">
        <v>23</v>
      </c>
      <c r="M110" s="722">
        <v>89</v>
      </c>
      <c r="N110" s="639">
        <v>92</v>
      </c>
      <c r="O110" s="789">
        <v>89</v>
      </c>
      <c r="P110" s="796" t="str">
        <f t="shared" si="113"/>
        <v>1. Small</v>
      </c>
      <c r="Q110" s="797" t="s">
        <v>322</v>
      </c>
      <c r="R110" s="434" t="s">
        <v>275</v>
      </c>
      <c r="S110" s="792" t="s">
        <v>233</v>
      </c>
      <c r="T110" s="365" t="str">
        <f t="shared" si="114"/>
        <v>Covered</v>
      </c>
      <c r="U110" s="437">
        <v>42521</v>
      </c>
      <c r="V110" s="783" t="s">
        <v>252</v>
      </c>
      <c r="W110" s="363" t="str">
        <f t="shared" si="115"/>
        <v>Documented</v>
      </c>
      <c r="X110" s="443">
        <v>0</v>
      </c>
      <c r="Y110" s="433">
        <v>0</v>
      </c>
      <c r="Z110" s="659" t="s">
        <v>19</v>
      </c>
      <c r="AA110" s="444" t="s">
        <v>19</v>
      </c>
      <c r="AB110" s="443">
        <v>0</v>
      </c>
      <c r="AC110" s="433">
        <v>0</v>
      </c>
      <c r="AD110" s="830">
        <v>3600</v>
      </c>
      <c r="AE110" s="452">
        <v>0</v>
      </c>
      <c r="AF110" s="461">
        <v>1</v>
      </c>
      <c r="AG110" s="453" t="s">
        <v>830</v>
      </c>
      <c r="AH110" s="368">
        <f t="shared" si="116"/>
        <v>1</v>
      </c>
      <c r="AI110" s="346">
        <f t="shared" si="117"/>
        <v>89</v>
      </c>
      <c r="AJ110" s="347">
        <f t="shared" si="118"/>
        <v>1</v>
      </c>
      <c r="AK110" s="348">
        <f t="shared" si="119"/>
        <v>89</v>
      </c>
      <c r="AL110" s="345">
        <f t="shared" si="120"/>
        <v>1</v>
      </c>
      <c r="AM110" s="348">
        <f t="shared" si="121"/>
        <v>89</v>
      </c>
      <c r="AN110" s="349" t="str">
        <f t="shared" si="122"/>
        <v>80-100%</v>
      </c>
      <c r="AO110" s="345">
        <f t="shared" si="123"/>
        <v>0</v>
      </c>
      <c r="AP110" s="350">
        <f t="shared" si="124"/>
        <v>0</v>
      </c>
      <c r="AQ110" s="348">
        <f t="shared" si="125"/>
        <v>0.2225</v>
      </c>
      <c r="AR110" s="348">
        <f t="shared" si="126"/>
        <v>23</v>
      </c>
      <c r="AS110" s="348">
        <f t="shared" si="127"/>
        <v>0</v>
      </c>
      <c r="AT110" s="461">
        <v>1</v>
      </c>
      <c r="AU110" s="459">
        <f t="shared" si="128"/>
        <v>89</v>
      </c>
      <c r="AV110" s="453" t="s">
        <v>932</v>
      </c>
      <c r="AW110" s="812">
        <v>0</v>
      </c>
      <c r="AX110" s="443">
        <v>1</v>
      </c>
      <c r="AY110" s="433"/>
      <c r="AZ110" s="433">
        <v>3</v>
      </c>
      <c r="BA110" s="431" t="s">
        <v>889</v>
      </c>
      <c r="BB110" s="444" t="s">
        <v>289</v>
      </c>
      <c r="BC110" s="810">
        <f t="shared" si="129"/>
        <v>0.898876404494382</v>
      </c>
      <c r="BD110" s="348">
        <f t="shared" si="130"/>
        <v>80</v>
      </c>
      <c r="BE110" s="351">
        <f t="shared" si="131"/>
        <v>0.2247191011235955</v>
      </c>
      <c r="BF110" s="348">
        <f t="shared" si="132"/>
        <v>20</v>
      </c>
      <c r="BG110" s="351">
        <f t="shared" si="133"/>
        <v>0.6741573033707865</v>
      </c>
      <c r="BH110" s="348">
        <f t="shared" si="134"/>
        <v>60</v>
      </c>
      <c r="BI110" s="466">
        <v>0</v>
      </c>
      <c r="BJ110" s="461">
        <v>0.9</v>
      </c>
      <c r="BK110" s="352">
        <f t="shared" si="147"/>
        <v>80.100000000000009</v>
      </c>
      <c r="BL110" s="353">
        <f t="shared" si="148"/>
        <v>1.4500000000000002</v>
      </c>
      <c r="BM110" s="433">
        <v>1</v>
      </c>
      <c r="BN110" s="433" t="s">
        <v>89</v>
      </c>
      <c r="BO110" s="351">
        <f t="shared" si="135"/>
        <v>1</v>
      </c>
      <c r="BP110" s="348">
        <f t="shared" si="136"/>
        <v>89</v>
      </c>
      <c r="BQ110" s="353">
        <f t="shared" si="137"/>
        <v>0</v>
      </c>
      <c r="BR110" s="467">
        <v>1</v>
      </c>
      <c r="BS110" s="348">
        <f t="shared" si="138"/>
        <v>89</v>
      </c>
      <c r="BT110" s="433">
        <v>2</v>
      </c>
      <c r="BU110" s="351">
        <f t="shared" si="139"/>
        <v>1</v>
      </c>
      <c r="BV110" s="353">
        <f t="shared" si="140"/>
        <v>0</v>
      </c>
      <c r="BW110" s="453">
        <v>1</v>
      </c>
      <c r="BX110" s="474"/>
      <c r="BY110" s="476">
        <v>42404</v>
      </c>
      <c r="BZ110" s="662" t="s">
        <v>823</v>
      </c>
      <c r="CA110" s="665">
        <v>0.45</v>
      </c>
      <c r="CB110" s="354">
        <f t="shared" si="141"/>
        <v>42769</v>
      </c>
      <c r="CC110" s="466">
        <v>20</v>
      </c>
      <c r="CD110" s="466">
        <v>9</v>
      </c>
      <c r="CE110" s="355">
        <f t="shared" si="142"/>
        <v>3</v>
      </c>
      <c r="CF110" s="356">
        <f t="shared" si="143"/>
        <v>0.86956521739130432</v>
      </c>
      <c r="CG110" s="348">
        <f t="shared" si="144"/>
        <v>77.391304347826079</v>
      </c>
      <c r="CH110" s="370">
        <f t="shared" si="145"/>
        <v>0</v>
      </c>
      <c r="CI110" s="478"/>
      <c r="CJ110" s="453">
        <v>1</v>
      </c>
      <c r="CK110" s="372">
        <f t="shared" si="149"/>
        <v>89</v>
      </c>
      <c r="CL110" s="478">
        <v>1</v>
      </c>
      <c r="CM110" s="357" t="str">
        <f t="shared" si="146"/>
        <v>Excellent coverage</v>
      </c>
      <c r="CN110" s="447">
        <v>0</v>
      </c>
      <c r="CO110" s="752" t="s">
        <v>65</v>
      </c>
      <c r="CP110" s="484"/>
    </row>
    <row r="111" spans="2:94" s="36" customFormat="1" ht="30.75" customHeight="1" x14ac:dyDescent="0.2">
      <c r="B111" s="438" t="s">
        <v>183</v>
      </c>
      <c r="C111" s="430" t="s">
        <v>681</v>
      </c>
      <c r="D111" s="430" t="s">
        <v>265</v>
      </c>
      <c r="E111" s="430" t="s">
        <v>612</v>
      </c>
      <c r="F111" s="430">
        <v>97.755750000000006</v>
      </c>
      <c r="G111" s="430">
        <v>24.273479999999999</v>
      </c>
      <c r="H111" s="430" t="s">
        <v>442</v>
      </c>
      <c r="I111" s="430" t="s">
        <v>221</v>
      </c>
      <c r="J111" s="430" t="s">
        <v>814</v>
      </c>
      <c r="K111" s="430" t="s">
        <v>800</v>
      </c>
      <c r="L111" s="722">
        <v>840</v>
      </c>
      <c r="M111" s="722">
        <v>3249</v>
      </c>
      <c r="N111" s="639">
        <v>1342</v>
      </c>
      <c r="O111" s="789">
        <v>1342</v>
      </c>
      <c r="P111" s="796" t="str">
        <f t="shared" si="113"/>
        <v>4. Big</v>
      </c>
      <c r="Q111" s="797" t="s">
        <v>253</v>
      </c>
      <c r="R111" s="434" t="s">
        <v>230</v>
      </c>
      <c r="S111" s="792" t="s">
        <v>284</v>
      </c>
      <c r="T111" s="365" t="str">
        <f t="shared" si="114"/>
        <v>Covered</v>
      </c>
      <c r="U111" s="782">
        <v>42613</v>
      </c>
      <c r="V111" s="783" t="s">
        <v>252</v>
      </c>
      <c r="W111" s="363" t="str">
        <f t="shared" si="115"/>
        <v>Documented</v>
      </c>
      <c r="X111" s="443">
        <v>0</v>
      </c>
      <c r="Y111" s="433">
        <v>0</v>
      </c>
      <c r="Z111" s="659" t="s">
        <v>19</v>
      </c>
      <c r="AA111" s="444" t="s">
        <v>19</v>
      </c>
      <c r="AB111" s="443">
        <v>0</v>
      </c>
      <c r="AC111" s="433">
        <v>0</v>
      </c>
      <c r="AD111" s="832">
        <v>99540</v>
      </c>
      <c r="AE111" s="452">
        <v>0</v>
      </c>
      <c r="AF111" s="461">
        <v>0.5</v>
      </c>
      <c r="AG111" s="453" t="s">
        <v>831</v>
      </c>
      <c r="AH111" s="368">
        <f t="shared" si="116"/>
        <v>1</v>
      </c>
      <c r="AI111" s="346">
        <f t="shared" si="117"/>
        <v>1342</v>
      </c>
      <c r="AJ111" s="347">
        <f t="shared" si="118"/>
        <v>1</v>
      </c>
      <c r="AK111" s="348">
        <f t="shared" si="119"/>
        <v>1342</v>
      </c>
      <c r="AL111" s="345">
        <f t="shared" si="120"/>
        <v>1</v>
      </c>
      <c r="AM111" s="348">
        <f t="shared" si="121"/>
        <v>1342</v>
      </c>
      <c r="AN111" s="349" t="str">
        <f t="shared" si="122"/>
        <v>80-100%</v>
      </c>
      <c r="AO111" s="345">
        <f t="shared" si="123"/>
        <v>0</v>
      </c>
      <c r="AP111" s="350">
        <f t="shared" si="124"/>
        <v>0</v>
      </c>
      <c r="AQ111" s="348">
        <f t="shared" si="125"/>
        <v>3.355</v>
      </c>
      <c r="AR111" s="348">
        <f t="shared" si="126"/>
        <v>420</v>
      </c>
      <c r="AS111" s="348">
        <f t="shared" si="127"/>
        <v>0</v>
      </c>
      <c r="AT111" s="461">
        <v>1</v>
      </c>
      <c r="AU111" s="459">
        <f t="shared" si="128"/>
        <v>1342</v>
      </c>
      <c r="AV111" s="453"/>
      <c r="AW111" s="812">
        <v>78</v>
      </c>
      <c r="AX111" s="443">
        <v>0</v>
      </c>
      <c r="AY111" s="433"/>
      <c r="AZ111" s="433">
        <v>70</v>
      </c>
      <c r="BA111" s="433" t="s">
        <v>889</v>
      </c>
      <c r="BB111" s="444" t="s">
        <v>89</v>
      </c>
      <c r="BC111" s="810">
        <f t="shared" si="129"/>
        <v>1</v>
      </c>
      <c r="BD111" s="348">
        <f t="shared" si="130"/>
        <v>1342</v>
      </c>
      <c r="BE111" s="351">
        <f t="shared" si="131"/>
        <v>0</v>
      </c>
      <c r="BF111" s="348">
        <f t="shared" si="132"/>
        <v>0</v>
      </c>
      <c r="BG111" s="351">
        <f t="shared" si="133"/>
        <v>1</v>
      </c>
      <c r="BH111" s="348">
        <f t="shared" si="134"/>
        <v>1342</v>
      </c>
      <c r="BI111" s="466">
        <v>0</v>
      </c>
      <c r="BJ111" s="461">
        <v>1</v>
      </c>
      <c r="BK111" s="352">
        <f t="shared" si="147"/>
        <v>1342</v>
      </c>
      <c r="BL111" s="353">
        <f t="shared" si="148"/>
        <v>0</v>
      </c>
      <c r="BM111" s="433">
        <v>2</v>
      </c>
      <c r="BN111" s="433" t="s">
        <v>291</v>
      </c>
      <c r="BO111" s="351">
        <f t="shared" si="135"/>
        <v>0.14903129657228018</v>
      </c>
      <c r="BP111" s="348">
        <f t="shared" si="136"/>
        <v>200</v>
      </c>
      <c r="BQ111" s="353">
        <f t="shared" si="137"/>
        <v>30.490000000000002</v>
      </c>
      <c r="BR111" s="467">
        <v>0.15</v>
      </c>
      <c r="BS111" s="348">
        <f t="shared" si="138"/>
        <v>201.29999999999998</v>
      </c>
      <c r="BT111" s="433">
        <v>53</v>
      </c>
      <c r="BU111" s="351">
        <f t="shared" si="139"/>
        <v>1</v>
      </c>
      <c r="BV111" s="353">
        <f t="shared" si="140"/>
        <v>0</v>
      </c>
      <c r="BW111" s="453">
        <v>1</v>
      </c>
      <c r="BX111" s="474"/>
      <c r="BY111" s="476">
        <v>41996</v>
      </c>
      <c r="BZ111" s="662" t="s">
        <v>820</v>
      </c>
      <c r="CA111" s="665">
        <v>0</v>
      </c>
      <c r="CB111" s="354" t="str">
        <f t="shared" si="141"/>
        <v>To be realised</v>
      </c>
      <c r="CC111" s="466">
        <v>322</v>
      </c>
      <c r="CD111" s="466">
        <v>3</v>
      </c>
      <c r="CE111" s="355">
        <f t="shared" si="142"/>
        <v>840</v>
      </c>
      <c r="CF111" s="356">
        <f t="shared" si="143"/>
        <v>0</v>
      </c>
      <c r="CG111" s="348">
        <f t="shared" si="144"/>
        <v>0</v>
      </c>
      <c r="CH111" s="370">
        <f t="shared" si="145"/>
        <v>10</v>
      </c>
      <c r="CI111" s="478"/>
      <c r="CJ111" s="453">
        <v>1</v>
      </c>
      <c r="CK111" s="372">
        <f t="shared" si="149"/>
        <v>1342</v>
      </c>
      <c r="CL111" s="478">
        <v>2</v>
      </c>
      <c r="CM111" s="357" t="str">
        <f t="shared" si="146"/>
        <v>Good coverage</v>
      </c>
      <c r="CN111" s="447">
        <v>0</v>
      </c>
      <c r="CO111" s="752" t="s">
        <v>292</v>
      </c>
      <c r="CP111" s="484"/>
    </row>
    <row r="112" spans="2:94" s="36" customFormat="1" ht="30.75" customHeight="1" x14ac:dyDescent="0.2">
      <c r="B112" s="438" t="s">
        <v>183</v>
      </c>
      <c r="C112" s="430" t="s">
        <v>681</v>
      </c>
      <c r="D112" s="430" t="s">
        <v>265</v>
      </c>
      <c r="E112" s="430" t="s">
        <v>611</v>
      </c>
      <c r="F112" s="430">
        <v>97.754009999999994</v>
      </c>
      <c r="G112" s="430">
        <v>24.275549999999999</v>
      </c>
      <c r="H112" s="430" t="s">
        <v>442</v>
      </c>
      <c r="I112" s="430" t="s">
        <v>221</v>
      </c>
      <c r="J112" s="430" t="s">
        <v>814</v>
      </c>
      <c r="K112" s="430" t="s">
        <v>800</v>
      </c>
      <c r="L112" s="721">
        <v>50</v>
      </c>
      <c r="M112" s="721">
        <v>251</v>
      </c>
      <c r="N112" s="431">
        <v>251</v>
      </c>
      <c r="O112" s="660">
        <v>251</v>
      </c>
      <c r="P112" s="796" t="str">
        <f t="shared" si="113"/>
        <v>1. Small</v>
      </c>
      <c r="Q112" s="797" t="s">
        <v>253</v>
      </c>
      <c r="R112" s="432" t="s">
        <v>230</v>
      </c>
      <c r="S112" s="793" t="s">
        <v>284</v>
      </c>
      <c r="T112" s="365" t="str">
        <f t="shared" si="114"/>
        <v>Covered</v>
      </c>
      <c r="U112" s="437">
        <v>42613</v>
      </c>
      <c r="V112" s="784" t="s">
        <v>252</v>
      </c>
      <c r="W112" s="363" t="str">
        <f t="shared" si="115"/>
        <v>Documented</v>
      </c>
      <c r="X112" s="441">
        <v>0</v>
      </c>
      <c r="Y112" s="431">
        <v>0</v>
      </c>
      <c r="Z112" s="660" t="s">
        <v>19</v>
      </c>
      <c r="AA112" s="442" t="s">
        <v>19</v>
      </c>
      <c r="AB112" s="449">
        <v>0</v>
      </c>
      <c r="AC112" s="431">
        <v>0</v>
      </c>
      <c r="AD112" s="831">
        <v>8640</v>
      </c>
      <c r="AE112" s="454">
        <v>0</v>
      </c>
      <c r="AF112" s="463">
        <v>0</v>
      </c>
      <c r="AG112" s="455"/>
      <c r="AH112" s="368">
        <f t="shared" si="116"/>
        <v>1</v>
      </c>
      <c r="AI112" s="346">
        <f t="shared" si="117"/>
        <v>251</v>
      </c>
      <c r="AJ112" s="347">
        <f t="shared" si="118"/>
        <v>1</v>
      </c>
      <c r="AK112" s="348">
        <f t="shared" si="119"/>
        <v>251</v>
      </c>
      <c r="AL112" s="345">
        <f t="shared" si="120"/>
        <v>1</v>
      </c>
      <c r="AM112" s="348">
        <f t="shared" si="121"/>
        <v>251</v>
      </c>
      <c r="AN112" s="349" t="str">
        <f t="shared" si="122"/>
        <v>80-100%</v>
      </c>
      <c r="AO112" s="345">
        <f t="shared" si="123"/>
        <v>0</v>
      </c>
      <c r="AP112" s="350">
        <f t="shared" si="124"/>
        <v>0</v>
      </c>
      <c r="AQ112" s="348">
        <f t="shared" si="125"/>
        <v>0.62749999999999995</v>
      </c>
      <c r="AR112" s="348">
        <f t="shared" si="126"/>
        <v>0</v>
      </c>
      <c r="AS112" s="348">
        <f t="shared" si="127"/>
        <v>0</v>
      </c>
      <c r="AT112" s="463">
        <v>1</v>
      </c>
      <c r="AU112" s="459">
        <f t="shared" si="128"/>
        <v>251</v>
      </c>
      <c r="AV112" s="464"/>
      <c r="AW112" s="813">
        <v>81</v>
      </c>
      <c r="AX112" s="449">
        <v>0</v>
      </c>
      <c r="AY112" s="431"/>
      <c r="AZ112" s="431">
        <v>27</v>
      </c>
      <c r="BA112" s="431" t="s">
        <v>889</v>
      </c>
      <c r="BB112" s="442" t="s">
        <v>89</v>
      </c>
      <c r="BC112" s="810">
        <f t="shared" si="129"/>
        <v>1</v>
      </c>
      <c r="BD112" s="348">
        <f t="shared" si="130"/>
        <v>251</v>
      </c>
      <c r="BE112" s="351">
        <f t="shared" si="131"/>
        <v>0</v>
      </c>
      <c r="BF112" s="348">
        <f t="shared" si="132"/>
        <v>0</v>
      </c>
      <c r="BG112" s="351">
        <f t="shared" si="133"/>
        <v>1</v>
      </c>
      <c r="BH112" s="348">
        <f t="shared" si="134"/>
        <v>251</v>
      </c>
      <c r="BI112" s="447">
        <v>0</v>
      </c>
      <c r="BJ112" s="463">
        <v>1</v>
      </c>
      <c r="BK112" s="352">
        <f t="shared" si="147"/>
        <v>251</v>
      </c>
      <c r="BL112" s="353">
        <f t="shared" si="148"/>
        <v>0</v>
      </c>
      <c r="BM112" s="431">
        <v>3</v>
      </c>
      <c r="BN112" s="431" t="s">
        <v>89</v>
      </c>
      <c r="BO112" s="351">
        <f t="shared" si="135"/>
        <v>1</v>
      </c>
      <c r="BP112" s="348">
        <f t="shared" si="136"/>
        <v>251</v>
      </c>
      <c r="BQ112" s="353">
        <f t="shared" si="137"/>
        <v>0</v>
      </c>
      <c r="BR112" s="458">
        <v>1</v>
      </c>
      <c r="BS112" s="348">
        <f t="shared" si="138"/>
        <v>251</v>
      </c>
      <c r="BT112" s="431">
        <v>18</v>
      </c>
      <c r="BU112" s="351">
        <f t="shared" si="139"/>
        <v>1</v>
      </c>
      <c r="BV112" s="353">
        <f t="shared" si="140"/>
        <v>0</v>
      </c>
      <c r="BW112" s="451">
        <v>1</v>
      </c>
      <c r="BX112" s="473"/>
      <c r="BY112" s="475">
        <v>41996</v>
      </c>
      <c r="BZ112" s="663" t="s">
        <v>820</v>
      </c>
      <c r="CA112" s="666">
        <v>0</v>
      </c>
      <c r="CB112" s="354" t="str">
        <f t="shared" si="141"/>
        <v>To be realised</v>
      </c>
      <c r="CC112" s="431">
        <v>58</v>
      </c>
      <c r="CD112" s="431">
        <v>0</v>
      </c>
      <c r="CE112" s="358">
        <f t="shared" si="142"/>
        <v>50</v>
      </c>
      <c r="CF112" s="359">
        <f t="shared" si="143"/>
        <v>0</v>
      </c>
      <c r="CG112" s="352">
        <f t="shared" si="144"/>
        <v>0</v>
      </c>
      <c r="CH112" s="654">
        <f t="shared" si="145"/>
        <v>13</v>
      </c>
      <c r="CI112" s="441"/>
      <c r="CJ112" s="455">
        <v>1</v>
      </c>
      <c r="CK112" s="372">
        <f t="shared" si="149"/>
        <v>251</v>
      </c>
      <c r="CL112" s="449">
        <v>0</v>
      </c>
      <c r="CM112" s="357" t="str">
        <f t="shared" si="146"/>
        <v>No coverage</v>
      </c>
      <c r="CN112" s="431">
        <v>0</v>
      </c>
      <c r="CO112" s="753" t="s">
        <v>292</v>
      </c>
      <c r="CP112" s="482"/>
    </row>
    <row r="113" spans="2:94" s="36" customFormat="1" ht="30.75" customHeight="1" x14ac:dyDescent="0.2">
      <c r="B113" s="438" t="s">
        <v>183</v>
      </c>
      <c r="C113" s="430" t="s">
        <v>681</v>
      </c>
      <c r="D113" s="430" t="s">
        <v>265</v>
      </c>
      <c r="E113" s="430" t="s">
        <v>610</v>
      </c>
      <c r="F113" s="430">
        <v>97.751050000000006</v>
      </c>
      <c r="G113" s="430">
        <v>24.279910000000001</v>
      </c>
      <c r="H113" s="430" t="s">
        <v>442</v>
      </c>
      <c r="I113" s="430" t="s">
        <v>221</v>
      </c>
      <c r="J113" s="430" t="s">
        <v>814</v>
      </c>
      <c r="K113" s="430" t="s">
        <v>800</v>
      </c>
      <c r="L113" s="721">
        <v>108</v>
      </c>
      <c r="M113" s="721">
        <v>538</v>
      </c>
      <c r="N113" s="431">
        <v>538</v>
      </c>
      <c r="O113" s="660">
        <v>538</v>
      </c>
      <c r="P113" s="796" t="str">
        <f t="shared" si="113"/>
        <v>2. Medium</v>
      </c>
      <c r="Q113" s="797" t="s">
        <v>253</v>
      </c>
      <c r="R113" s="432" t="s">
        <v>230</v>
      </c>
      <c r="S113" s="793" t="s">
        <v>284</v>
      </c>
      <c r="T113" s="365" t="str">
        <f t="shared" si="114"/>
        <v>Covered</v>
      </c>
      <c r="U113" s="437">
        <v>42613</v>
      </c>
      <c r="V113" s="784" t="s">
        <v>252</v>
      </c>
      <c r="W113" s="363" t="str">
        <f t="shared" si="115"/>
        <v>Documented</v>
      </c>
      <c r="X113" s="441">
        <v>0</v>
      </c>
      <c r="Y113" s="431">
        <v>0</v>
      </c>
      <c r="Z113" s="660" t="s">
        <v>19</v>
      </c>
      <c r="AA113" s="442" t="s">
        <v>19</v>
      </c>
      <c r="AB113" s="449">
        <v>0</v>
      </c>
      <c r="AC113" s="431">
        <v>0</v>
      </c>
      <c r="AD113" s="831">
        <v>94000</v>
      </c>
      <c r="AE113" s="454">
        <v>0</v>
      </c>
      <c r="AF113" s="463">
        <v>0.5</v>
      </c>
      <c r="AG113" s="455" t="s">
        <v>831</v>
      </c>
      <c r="AH113" s="368">
        <f t="shared" si="116"/>
        <v>1</v>
      </c>
      <c r="AI113" s="346">
        <f t="shared" si="117"/>
        <v>538</v>
      </c>
      <c r="AJ113" s="347">
        <f t="shared" si="118"/>
        <v>1</v>
      </c>
      <c r="AK113" s="348">
        <f t="shared" si="119"/>
        <v>538</v>
      </c>
      <c r="AL113" s="345">
        <f t="shared" si="120"/>
        <v>1</v>
      </c>
      <c r="AM113" s="348">
        <f t="shared" si="121"/>
        <v>538</v>
      </c>
      <c r="AN113" s="349" t="str">
        <f t="shared" si="122"/>
        <v>80-100%</v>
      </c>
      <c r="AO113" s="345">
        <f t="shared" si="123"/>
        <v>0</v>
      </c>
      <c r="AP113" s="350">
        <f t="shared" si="124"/>
        <v>0</v>
      </c>
      <c r="AQ113" s="348">
        <f t="shared" si="125"/>
        <v>1.345</v>
      </c>
      <c r="AR113" s="348">
        <f t="shared" si="126"/>
        <v>54</v>
      </c>
      <c r="AS113" s="348">
        <f t="shared" si="127"/>
        <v>0</v>
      </c>
      <c r="AT113" s="463">
        <v>1</v>
      </c>
      <c r="AU113" s="459">
        <f t="shared" si="128"/>
        <v>538</v>
      </c>
      <c r="AV113" s="442"/>
      <c r="AW113" s="813">
        <v>2</v>
      </c>
      <c r="AX113" s="449">
        <v>10</v>
      </c>
      <c r="AY113" s="431"/>
      <c r="AZ113" s="431">
        <v>30</v>
      </c>
      <c r="BA113" s="431" t="s">
        <v>889</v>
      </c>
      <c r="BB113" s="442" t="s">
        <v>89</v>
      </c>
      <c r="BC113" s="810">
        <f t="shared" si="129"/>
        <v>1</v>
      </c>
      <c r="BD113" s="348">
        <f t="shared" si="130"/>
        <v>538</v>
      </c>
      <c r="BE113" s="351">
        <f t="shared" si="131"/>
        <v>0</v>
      </c>
      <c r="BF113" s="348">
        <f t="shared" si="132"/>
        <v>0</v>
      </c>
      <c r="BG113" s="351">
        <f t="shared" si="133"/>
        <v>1</v>
      </c>
      <c r="BH113" s="348">
        <f t="shared" si="134"/>
        <v>538</v>
      </c>
      <c r="BI113" s="447">
        <v>0</v>
      </c>
      <c r="BJ113" s="463">
        <v>1</v>
      </c>
      <c r="BK113" s="352">
        <f t="shared" si="147"/>
        <v>538</v>
      </c>
      <c r="BL113" s="353">
        <f t="shared" si="148"/>
        <v>0</v>
      </c>
      <c r="BM113" s="431">
        <v>4</v>
      </c>
      <c r="BN113" s="431" t="s">
        <v>291</v>
      </c>
      <c r="BO113" s="351">
        <f t="shared" si="135"/>
        <v>0.74349442379182151</v>
      </c>
      <c r="BP113" s="348">
        <f t="shared" si="136"/>
        <v>400</v>
      </c>
      <c r="BQ113" s="353">
        <f t="shared" si="137"/>
        <v>1.38</v>
      </c>
      <c r="BR113" s="458">
        <v>0.74</v>
      </c>
      <c r="BS113" s="348">
        <f t="shared" si="138"/>
        <v>398.12</v>
      </c>
      <c r="BT113" s="431">
        <v>16</v>
      </c>
      <c r="BU113" s="351">
        <f t="shared" si="139"/>
        <v>1</v>
      </c>
      <c r="BV113" s="353">
        <f t="shared" si="140"/>
        <v>0</v>
      </c>
      <c r="BW113" s="451">
        <v>1</v>
      </c>
      <c r="BX113" s="473"/>
      <c r="BY113" s="475">
        <v>41996</v>
      </c>
      <c r="BZ113" s="663" t="s">
        <v>820</v>
      </c>
      <c r="CA113" s="666">
        <v>0</v>
      </c>
      <c r="CB113" s="354" t="str">
        <f t="shared" si="141"/>
        <v>To be realised</v>
      </c>
      <c r="CC113" s="431">
        <v>228</v>
      </c>
      <c r="CD113" s="431">
        <v>0</v>
      </c>
      <c r="CE113" s="358">
        <f t="shared" si="142"/>
        <v>108</v>
      </c>
      <c r="CF113" s="359">
        <f t="shared" si="143"/>
        <v>0</v>
      </c>
      <c r="CG113" s="352">
        <f t="shared" si="144"/>
        <v>0</v>
      </c>
      <c r="CH113" s="654">
        <f t="shared" si="145"/>
        <v>13</v>
      </c>
      <c r="CI113" s="441"/>
      <c r="CJ113" s="455">
        <v>1</v>
      </c>
      <c r="CK113" s="372">
        <f t="shared" si="149"/>
        <v>538</v>
      </c>
      <c r="CL113" s="449">
        <v>0</v>
      </c>
      <c r="CM113" s="357" t="str">
        <f t="shared" si="146"/>
        <v>No coverage</v>
      </c>
      <c r="CN113" s="431">
        <v>0</v>
      </c>
      <c r="CO113" s="753" t="s">
        <v>292</v>
      </c>
      <c r="CP113" s="482"/>
    </row>
    <row r="114" spans="2:94" s="36" customFormat="1" ht="30.75" customHeight="1" x14ac:dyDescent="0.2">
      <c r="B114" s="438" t="s">
        <v>183</v>
      </c>
      <c r="C114" s="430" t="s">
        <v>681</v>
      </c>
      <c r="D114" s="430" t="s">
        <v>265</v>
      </c>
      <c r="E114" s="430" t="s">
        <v>609</v>
      </c>
      <c r="F114" s="430">
        <v>97.740570000000005</v>
      </c>
      <c r="G114" s="430">
        <v>24.266819999999999</v>
      </c>
      <c r="H114" s="430" t="s">
        <v>443</v>
      </c>
      <c r="I114" s="430" t="s">
        <v>221</v>
      </c>
      <c r="J114" s="430" t="s">
        <v>814</v>
      </c>
      <c r="K114" s="430" t="s">
        <v>805</v>
      </c>
      <c r="L114" s="721"/>
      <c r="M114" s="721"/>
      <c r="N114" s="431">
        <v>333</v>
      </c>
      <c r="O114" s="660">
        <v>333</v>
      </c>
      <c r="P114" s="796" t="str">
        <f t="shared" si="113"/>
        <v>1. Small</v>
      </c>
      <c r="Q114" s="797" t="s">
        <v>253</v>
      </c>
      <c r="R114" s="432" t="s">
        <v>230</v>
      </c>
      <c r="S114" s="793" t="s">
        <v>284</v>
      </c>
      <c r="T114" s="365" t="str">
        <f t="shared" si="114"/>
        <v>Covered</v>
      </c>
      <c r="U114" s="437">
        <v>42613</v>
      </c>
      <c r="V114" s="784" t="s">
        <v>252</v>
      </c>
      <c r="W114" s="363" t="str">
        <f t="shared" si="115"/>
        <v>Documented</v>
      </c>
      <c r="X114" s="441">
        <v>0</v>
      </c>
      <c r="Y114" s="431">
        <v>0</v>
      </c>
      <c r="Z114" s="660" t="s">
        <v>19</v>
      </c>
      <c r="AA114" s="442" t="s">
        <v>19</v>
      </c>
      <c r="AB114" s="449">
        <v>0</v>
      </c>
      <c r="AC114" s="431">
        <v>0</v>
      </c>
      <c r="AD114" s="831">
        <v>8640</v>
      </c>
      <c r="AE114" s="454">
        <v>0</v>
      </c>
      <c r="AF114" s="463">
        <v>0</v>
      </c>
      <c r="AG114" s="455"/>
      <c r="AH114" s="368">
        <f t="shared" si="116"/>
        <v>1</v>
      </c>
      <c r="AI114" s="346">
        <f t="shared" si="117"/>
        <v>333</v>
      </c>
      <c r="AJ114" s="347">
        <f t="shared" si="118"/>
        <v>1</v>
      </c>
      <c r="AK114" s="348">
        <f t="shared" si="119"/>
        <v>333</v>
      </c>
      <c r="AL114" s="345">
        <f t="shared" si="120"/>
        <v>1</v>
      </c>
      <c r="AM114" s="348">
        <f t="shared" si="121"/>
        <v>333</v>
      </c>
      <c r="AN114" s="349" t="str">
        <f t="shared" si="122"/>
        <v>80-100%</v>
      </c>
      <c r="AO114" s="345">
        <f t="shared" si="123"/>
        <v>0</v>
      </c>
      <c r="AP114" s="350">
        <f t="shared" si="124"/>
        <v>0</v>
      </c>
      <c r="AQ114" s="348">
        <f t="shared" si="125"/>
        <v>0.83250000000000002</v>
      </c>
      <c r="AR114" s="348">
        <f t="shared" si="126"/>
        <v>0</v>
      </c>
      <c r="AS114" s="348">
        <f t="shared" si="127"/>
        <v>0</v>
      </c>
      <c r="AT114" s="463">
        <v>1</v>
      </c>
      <c r="AU114" s="459">
        <f t="shared" si="128"/>
        <v>333</v>
      </c>
      <c r="AV114" s="442"/>
      <c r="AW114" s="813">
        <v>0</v>
      </c>
      <c r="AX114" s="449">
        <v>0</v>
      </c>
      <c r="AY114" s="431"/>
      <c r="AZ114" s="431">
        <v>27</v>
      </c>
      <c r="BA114" s="431" t="s">
        <v>889</v>
      </c>
      <c r="BB114" s="442" t="s">
        <v>89</v>
      </c>
      <c r="BC114" s="810">
        <f t="shared" si="129"/>
        <v>1</v>
      </c>
      <c r="BD114" s="348">
        <f t="shared" si="130"/>
        <v>333</v>
      </c>
      <c r="BE114" s="351">
        <f t="shared" si="131"/>
        <v>0</v>
      </c>
      <c r="BF114" s="348">
        <f t="shared" si="132"/>
        <v>0</v>
      </c>
      <c r="BG114" s="351">
        <f t="shared" si="133"/>
        <v>1</v>
      </c>
      <c r="BH114" s="348">
        <f t="shared" si="134"/>
        <v>333</v>
      </c>
      <c r="BI114" s="447">
        <v>0</v>
      </c>
      <c r="BJ114" s="463">
        <v>1</v>
      </c>
      <c r="BK114" s="352">
        <f t="shared" si="147"/>
        <v>333</v>
      </c>
      <c r="BL114" s="353">
        <f t="shared" si="148"/>
        <v>0</v>
      </c>
      <c r="BM114" s="431">
        <v>4</v>
      </c>
      <c r="BN114" s="431" t="s">
        <v>291</v>
      </c>
      <c r="BO114" s="351">
        <f t="shared" si="135"/>
        <v>1</v>
      </c>
      <c r="BP114" s="348">
        <f t="shared" si="136"/>
        <v>333</v>
      </c>
      <c r="BQ114" s="353">
        <f t="shared" si="137"/>
        <v>0</v>
      </c>
      <c r="BR114" s="458">
        <v>1</v>
      </c>
      <c r="BS114" s="348">
        <f t="shared" si="138"/>
        <v>333</v>
      </c>
      <c r="BT114" s="431">
        <v>4</v>
      </c>
      <c r="BU114" s="351">
        <f t="shared" si="139"/>
        <v>1</v>
      </c>
      <c r="BV114" s="353">
        <f t="shared" si="140"/>
        <v>0</v>
      </c>
      <c r="BW114" s="453">
        <v>1</v>
      </c>
      <c r="BX114" s="474"/>
      <c r="BY114" s="475">
        <v>41996</v>
      </c>
      <c r="BZ114" s="663" t="s">
        <v>820</v>
      </c>
      <c r="CA114" s="666">
        <v>0</v>
      </c>
      <c r="CB114" s="354" t="str">
        <f t="shared" si="141"/>
        <v>To be realised</v>
      </c>
      <c r="CC114" s="431">
        <v>0</v>
      </c>
      <c r="CD114" s="431">
        <v>0</v>
      </c>
      <c r="CE114" s="358">
        <f t="shared" si="142"/>
        <v>0</v>
      </c>
      <c r="CF114" s="359">
        <f t="shared" si="143"/>
        <v>1</v>
      </c>
      <c r="CG114" s="352">
        <f t="shared" si="144"/>
        <v>333</v>
      </c>
      <c r="CH114" s="654">
        <f t="shared" si="145"/>
        <v>13</v>
      </c>
      <c r="CI114" s="441"/>
      <c r="CJ114" s="455">
        <v>0</v>
      </c>
      <c r="CK114" s="372">
        <f t="shared" si="149"/>
        <v>0</v>
      </c>
      <c r="CL114" s="449">
        <v>0</v>
      </c>
      <c r="CM114" s="357" t="str">
        <f t="shared" si="146"/>
        <v>No coverage</v>
      </c>
      <c r="CN114" s="431">
        <v>0</v>
      </c>
      <c r="CO114" s="753" t="s">
        <v>292</v>
      </c>
      <c r="CP114" s="482"/>
    </row>
    <row r="115" spans="2:94" s="36" customFormat="1" ht="30.75" customHeight="1" x14ac:dyDescent="0.2">
      <c r="B115" s="438" t="s">
        <v>183</v>
      </c>
      <c r="C115" s="430" t="s">
        <v>681</v>
      </c>
      <c r="D115" s="430" t="s">
        <v>265</v>
      </c>
      <c r="E115" s="430" t="s">
        <v>608</v>
      </c>
      <c r="F115" s="430">
        <v>97.758769999999998</v>
      </c>
      <c r="G115" s="430">
        <v>24.255469999999999</v>
      </c>
      <c r="H115" s="430" t="s">
        <v>443</v>
      </c>
      <c r="I115" s="430" t="s">
        <v>221</v>
      </c>
      <c r="J115" s="430" t="s">
        <v>814</v>
      </c>
      <c r="K115" s="430" t="s">
        <v>805</v>
      </c>
      <c r="L115" s="721"/>
      <c r="M115" s="721"/>
      <c r="N115" s="819">
        <v>506</v>
      </c>
      <c r="O115" s="820">
        <v>506</v>
      </c>
      <c r="P115" s="796" t="str">
        <f t="shared" si="113"/>
        <v>1. Small</v>
      </c>
      <c r="Q115" s="797" t="s">
        <v>253</v>
      </c>
      <c r="R115" s="432" t="s">
        <v>230</v>
      </c>
      <c r="S115" s="793" t="s">
        <v>284</v>
      </c>
      <c r="T115" s="365" t="str">
        <f t="shared" si="114"/>
        <v>Covered</v>
      </c>
      <c r="U115" s="437">
        <v>42613</v>
      </c>
      <c r="V115" s="784" t="s">
        <v>252</v>
      </c>
      <c r="W115" s="363" t="str">
        <f t="shared" si="115"/>
        <v>Documented</v>
      </c>
      <c r="X115" s="441">
        <v>0</v>
      </c>
      <c r="Y115" s="431">
        <v>0</v>
      </c>
      <c r="Z115" s="660" t="s">
        <v>19</v>
      </c>
      <c r="AA115" s="442" t="s">
        <v>19</v>
      </c>
      <c r="AB115" s="441">
        <v>0</v>
      </c>
      <c r="AC115" s="447">
        <v>0</v>
      </c>
      <c r="AD115" s="831">
        <v>24300</v>
      </c>
      <c r="AE115" s="454">
        <v>0</v>
      </c>
      <c r="AF115" s="463">
        <v>0</v>
      </c>
      <c r="AG115" s="455"/>
      <c r="AH115" s="368">
        <f t="shared" si="116"/>
        <v>1</v>
      </c>
      <c r="AI115" s="346">
        <f t="shared" si="117"/>
        <v>506</v>
      </c>
      <c r="AJ115" s="347">
        <f t="shared" si="118"/>
        <v>1</v>
      </c>
      <c r="AK115" s="348">
        <f t="shared" si="119"/>
        <v>506</v>
      </c>
      <c r="AL115" s="345">
        <f t="shared" si="120"/>
        <v>1</v>
      </c>
      <c r="AM115" s="348">
        <f t="shared" si="121"/>
        <v>506</v>
      </c>
      <c r="AN115" s="349" t="str">
        <f t="shared" si="122"/>
        <v>80-100%</v>
      </c>
      <c r="AO115" s="345">
        <f t="shared" si="123"/>
        <v>0</v>
      </c>
      <c r="AP115" s="350">
        <f t="shared" si="124"/>
        <v>0</v>
      </c>
      <c r="AQ115" s="348">
        <f t="shared" si="125"/>
        <v>1.2649999999999999</v>
      </c>
      <c r="AR115" s="348">
        <f t="shared" si="126"/>
        <v>0</v>
      </c>
      <c r="AS115" s="348">
        <f t="shared" si="127"/>
        <v>0</v>
      </c>
      <c r="AT115" s="458">
        <v>1</v>
      </c>
      <c r="AU115" s="459">
        <f t="shared" si="128"/>
        <v>506</v>
      </c>
      <c r="AV115" s="448"/>
      <c r="AW115" s="813">
        <v>27</v>
      </c>
      <c r="AX115" s="449">
        <v>6</v>
      </c>
      <c r="AY115" s="431"/>
      <c r="AZ115" s="431">
        <v>16</v>
      </c>
      <c r="BA115" s="431"/>
      <c r="BB115" s="442" t="s">
        <v>289</v>
      </c>
      <c r="BC115" s="810">
        <f t="shared" si="129"/>
        <v>0.86956521739130432</v>
      </c>
      <c r="BD115" s="348">
        <f t="shared" si="130"/>
        <v>440</v>
      </c>
      <c r="BE115" s="351">
        <f t="shared" si="131"/>
        <v>0.23715415019762842</v>
      </c>
      <c r="BF115" s="348">
        <f t="shared" si="132"/>
        <v>119.99999999999999</v>
      </c>
      <c r="BG115" s="351">
        <f t="shared" si="133"/>
        <v>0.6324110671936759</v>
      </c>
      <c r="BH115" s="348">
        <f t="shared" si="134"/>
        <v>320</v>
      </c>
      <c r="BI115" s="447">
        <v>0</v>
      </c>
      <c r="BJ115" s="463">
        <v>0.873</v>
      </c>
      <c r="BK115" s="352">
        <f t="shared" si="147"/>
        <v>441.738</v>
      </c>
      <c r="BL115" s="353">
        <f t="shared" si="148"/>
        <v>9.3000000000000007</v>
      </c>
      <c r="BM115" s="431">
        <v>1</v>
      </c>
      <c r="BN115" s="431" t="s">
        <v>290</v>
      </c>
      <c r="BO115" s="351">
        <f t="shared" si="135"/>
        <v>0.19762845849802371</v>
      </c>
      <c r="BP115" s="348">
        <f t="shared" si="136"/>
        <v>100</v>
      </c>
      <c r="BQ115" s="353">
        <f t="shared" si="137"/>
        <v>0</v>
      </c>
      <c r="BR115" s="458">
        <v>0.2</v>
      </c>
      <c r="BS115" s="348">
        <f t="shared" si="138"/>
        <v>101.2</v>
      </c>
      <c r="BT115" s="447">
        <v>2</v>
      </c>
      <c r="BU115" s="351">
        <f t="shared" si="139"/>
        <v>0.39525691699604742</v>
      </c>
      <c r="BV115" s="353">
        <f t="shared" si="140"/>
        <v>0</v>
      </c>
      <c r="BW115" s="451">
        <v>0.4</v>
      </c>
      <c r="BX115" s="473"/>
      <c r="BY115" s="475">
        <v>41996</v>
      </c>
      <c r="BZ115" s="663" t="s">
        <v>820</v>
      </c>
      <c r="CA115" s="666">
        <v>0</v>
      </c>
      <c r="CB115" s="354" t="str">
        <f t="shared" si="141"/>
        <v>To be realised</v>
      </c>
      <c r="CC115" s="431">
        <v>0</v>
      </c>
      <c r="CD115" s="431">
        <v>0</v>
      </c>
      <c r="CE115" s="355">
        <f t="shared" si="142"/>
        <v>0</v>
      </c>
      <c r="CF115" s="356">
        <f t="shared" si="143"/>
        <v>1</v>
      </c>
      <c r="CG115" s="348">
        <f t="shared" si="144"/>
        <v>506</v>
      </c>
      <c r="CH115" s="370">
        <f t="shared" si="145"/>
        <v>13</v>
      </c>
      <c r="CI115" s="441"/>
      <c r="CJ115" s="451">
        <v>0</v>
      </c>
      <c r="CK115" s="372">
        <f t="shared" si="149"/>
        <v>0</v>
      </c>
      <c r="CL115" s="441">
        <v>2</v>
      </c>
      <c r="CM115" s="357" t="str">
        <f t="shared" si="146"/>
        <v>Excellent coverage</v>
      </c>
      <c r="CN115" s="447">
        <v>0</v>
      </c>
      <c r="CO115" s="753" t="s">
        <v>292</v>
      </c>
      <c r="CP115" s="482"/>
    </row>
    <row r="116" spans="2:94" s="36" customFormat="1" ht="30.75" customHeight="1" x14ac:dyDescent="0.2">
      <c r="B116" s="438" t="s">
        <v>183</v>
      </c>
      <c r="C116" s="430" t="s">
        <v>681</v>
      </c>
      <c r="D116" s="430" t="s">
        <v>265</v>
      </c>
      <c r="E116" s="430" t="s">
        <v>613</v>
      </c>
      <c r="F116" s="430">
        <v>97.758769999999998</v>
      </c>
      <c r="G116" s="430">
        <v>24.255469999999999</v>
      </c>
      <c r="H116" s="430" t="s">
        <v>453</v>
      </c>
      <c r="I116" s="430" t="s">
        <v>221</v>
      </c>
      <c r="J116" s="430" t="s">
        <v>814</v>
      </c>
      <c r="K116" s="430" t="s">
        <v>801</v>
      </c>
      <c r="L116" s="721">
        <v>65</v>
      </c>
      <c r="M116" s="721">
        <v>326</v>
      </c>
      <c r="N116" s="431">
        <v>326</v>
      </c>
      <c r="O116" s="660">
        <v>326</v>
      </c>
      <c r="P116" s="796" t="str">
        <f t="shared" si="113"/>
        <v>2. Medium</v>
      </c>
      <c r="Q116" s="797" t="s">
        <v>253</v>
      </c>
      <c r="R116" s="432" t="s">
        <v>230</v>
      </c>
      <c r="S116" s="793" t="s">
        <v>284</v>
      </c>
      <c r="T116" s="365" t="str">
        <f t="shared" si="114"/>
        <v>Covered</v>
      </c>
      <c r="U116" s="437">
        <v>42613</v>
      </c>
      <c r="V116" s="784" t="s">
        <v>252</v>
      </c>
      <c r="W116" s="363" t="str">
        <f t="shared" si="115"/>
        <v>Documented</v>
      </c>
      <c r="X116" s="441">
        <v>0</v>
      </c>
      <c r="Y116" s="431">
        <v>0</v>
      </c>
      <c r="Z116" s="660" t="s">
        <v>19</v>
      </c>
      <c r="AA116" s="442" t="s">
        <v>19</v>
      </c>
      <c r="AB116" s="441">
        <v>0</v>
      </c>
      <c r="AC116" s="447">
        <v>0</v>
      </c>
      <c r="AD116" s="831">
        <v>10631</v>
      </c>
      <c r="AE116" s="454">
        <v>0</v>
      </c>
      <c r="AF116" s="463">
        <v>0</v>
      </c>
      <c r="AG116" s="455"/>
      <c r="AH116" s="368">
        <f t="shared" si="116"/>
        <v>1</v>
      </c>
      <c r="AI116" s="346">
        <f t="shared" si="117"/>
        <v>326</v>
      </c>
      <c r="AJ116" s="347">
        <f t="shared" si="118"/>
        <v>1</v>
      </c>
      <c r="AK116" s="348">
        <f t="shared" si="119"/>
        <v>326</v>
      </c>
      <c r="AL116" s="345">
        <f t="shared" si="120"/>
        <v>1</v>
      </c>
      <c r="AM116" s="348">
        <f t="shared" si="121"/>
        <v>326</v>
      </c>
      <c r="AN116" s="349" t="str">
        <f t="shared" si="122"/>
        <v>80-100%</v>
      </c>
      <c r="AO116" s="345">
        <f t="shared" si="123"/>
        <v>0</v>
      </c>
      <c r="AP116" s="350">
        <f t="shared" si="124"/>
        <v>0</v>
      </c>
      <c r="AQ116" s="348">
        <f t="shared" si="125"/>
        <v>0.81499999999999995</v>
      </c>
      <c r="AR116" s="348">
        <f t="shared" si="126"/>
        <v>0</v>
      </c>
      <c r="AS116" s="348">
        <f t="shared" si="127"/>
        <v>0</v>
      </c>
      <c r="AT116" s="458">
        <v>1</v>
      </c>
      <c r="AU116" s="459">
        <f t="shared" si="128"/>
        <v>326</v>
      </c>
      <c r="AV116" s="448"/>
      <c r="AW116" s="813">
        <v>0</v>
      </c>
      <c r="AX116" s="449">
        <v>78</v>
      </c>
      <c r="AY116" s="431"/>
      <c r="AZ116" s="431">
        <v>0</v>
      </c>
      <c r="BA116" s="431"/>
      <c r="BB116" s="442" t="s">
        <v>290</v>
      </c>
      <c r="BC116" s="810">
        <f t="shared" si="129"/>
        <v>1</v>
      </c>
      <c r="BD116" s="348">
        <f t="shared" si="130"/>
        <v>326</v>
      </c>
      <c r="BE116" s="351">
        <f t="shared" si="131"/>
        <v>1</v>
      </c>
      <c r="BF116" s="348">
        <f t="shared" si="132"/>
        <v>326</v>
      </c>
      <c r="BG116" s="351">
        <f t="shared" si="133"/>
        <v>0</v>
      </c>
      <c r="BH116" s="348">
        <f t="shared" si="134"/>
        <v>0</v>
      </c>
      <c r="BI116" s="447">
        <v>0</v>
      </c>
      <c r="BJ116" s="463">
        <v>1</v>
      </c>
      <c r="BK116" s="352">
        <f t="shared" si="147"/>
        <v>326</v>
      </c>
      <c r="BL116" s="353">
        <f t="shared" si="148"/>
        <v>16.3</v>
      </c>
      <c r="BM116" s="431">
        <v>0</v>
      </c>
      <c r="BN116" s="431" t="s">
        <v>89</v>
      </c>
      <c r="BO116" s="351">
        <f t="shared" si="135"/>
        <v>0</v>
      </c>
      <c r="BP116" s="348">
        <f t="shared" si="136"/>
        <v>0</v>
      </c>
      <c r="BQ116" s="353">
        <f t="shared" si="137"/>
        <v>3.26</v>
      </c>
      <c r="BR116" s="458">
        <v>0</v>
      </c>
      <c r="BS116" s="348">
        <f t="shared" si="138"/>
        <v>0</v>
      </c>
      <c r="BT116" s="447">
        <v>0</v>
      </c>
      <c r="BU116" s="351">
        <f t="shared" si="139"/>
        <v>0</v>
      </c>
      <c r="BV116" s="353">
        <f t="shared" si="140"/>
        <v>3.26</v>
      </c>
      <c r="BW116" s="451">
        <v>0</v>
      </c>
      <c r="BX116" s="473"/>
      <c r="BY116" s="475">
        <v>41996</v>
      </c>
      <c r="BZ116" s="663" t="s">
        <v>820</v>
      </c>
      <c r="CA116" s="666">
        <v>0</v>
      </c>
      <c r="CB116" s="354" t="str">
        <f t="shared" si="141"/>
        <v>To be realised</v>
      </c>
      <c r="CC116" s="431">
        <v>78</v>
      </c>
      <c r="CD116" s="431">
        <v>0</v>
      </c>
      <c r="CE116" s="355">
        <f t="shared" si="142"/>
        <v>65</v>
      </c>
      <c r="CF116" s="356">
        <f t="shared" si="143"/>
        <v>0</v>
      </c>
      <c r="CG116" s="348">
        <f t="shared" si="144"/>
        <v>0</v>
      </c>
      <c r="CH116" s="370">
        <f t="shared" si="145"/>
        <v>13</v>
      </c>
      <c r="CI116" s="441"/>
      <c r="CJ116" s="451">
        <v>0</v>
      </c>
      <c r="CK116" s="372">
        <f t="shared" si="149"/>
        <v>0</v>
      </c>
      <c r="CL116" s="441">
        <v>1</v>
      </c>
      <c r="CM116" s="357" t="str">
        <f t="shared" si="146"/>
        <v>Excellent coverage</v>
      </c>
      <c r="CN116" s="447">
        <v>0</v>
      </c>
      <c r="CO116" s="753" t="s">
        <v>65</v>
      </c>
      <c r="CP116" s="482"/>
    </row>
    <row r="117" spans="2:94" s="36" customFormat="1" ht="30.75" customHeight="1" x14ac:dyDescent="0.2">
      <c r="B117" s="438" t="s">
        <v>183</v>
      </c>
      <c r="C117" s="430" t="s">
        <v>681</v>
      </c>
      <c r="D117" s="430" t="s">
        <v>265</v>
      </c>
      <c r="E117" s="430" t="s">
        <v>657</v>
      </c>
      <c r="F117" s="430">
        <v>97.755750000000006</v>
      </c>
      <c r="G117" s="430">
        <v>24.273479999999999</v>
      </c>
      <c r="H117" s="430" t="s">
        <v>443</v>
      </c>
      <c r="I117" s="430" t="s">
        <v>221</v>
      </c>
      <c r="J117" s="430" t="s">
        <v>814</v>
      </c>
      <c r="K117" s="430" t="s">
        <v>805</v>
      </c>
      <c r="L117" s="721"/>
      <c r="M117" s="721"/>
      <c r="N117" s="819">
        <v>211</v>
      </c>
      <c r="O117" s="820">
        <v>211</v>
      </c>
      <c r="P117" s="796" t="str">
        <f t="shared" si="113"/>
        <v>1. Small</v>
      </c>
      <c r="Q117" s="797" t="s">
        <v>253</v>
      </c>
      <c r="R117" s="432" t="s">
        <v>230</v>
      </c>
      <c r="S117" s="793" t="s">
        <v>284</v>
      </c>
      <c r="T117" s="365" t="str">
        <f t="shared" si="114"/>
        <v>Covered</v>
      </c>
      <c r="U117" s="437">
        <v>42613</v>
      </c>
      <c r="V117" s="784" t="s">
        <v>252</v>
      </c>
      <c r="W117" s="363" t="str">
        <f t="shared" si="115"/>
        <v>Documented</v>
      </c>
      <c r="X117" s="441">
        <v>0</v>
      </c>
      <c r="Y117" s="431">
        <v>0</v>
      </c>
      <c r="Z117" s="660" t="s">
        <v>19</v>
      </c>
      <c r="AA117" s="442" t="s">
        <v>19</v>
      </c>
      <c r="AB117" s="441">
        <v>0</v>
      </c>
      <c r="AC117" s="447">
        <v>0</v>
      </c>
      <c r="AD117" s="831">
        <v>9000</v>
      </c>
      <c r="AE117" s="454">
        <v>0</v>
      </c>
      <c r="AF117" s="463">
        <v>0</v>
      </c>
      <c r="AG117" s="455"/>
      <c r="AH117" s="368">
        <f t="shared" si="116"/>
        <v>1</v>
      </c>
      <c r="AI117" s="346">
        <f t="shared" si="117"/>
        <v>211</v>
      </c>
      <c r="AJ117" s="347">
        <f t="shared" si="118"/>
        <v>1</v>
      </c>
      <c r="AK117" s="348">
        <f t="shared" si="119"/>
        <v>211</v>
      </c>
      <c r="AL117" s="345">
        <f t="shared" si="120"/>
        <v>1</v>
      </c>
      <c r="AM117" s="348">
        <f t="shared" si="121"/>
        <v>211</v>
      </c>
      <c r="AN117" s="349" t="str">
        <f t="shared" si="122"/>
        <v>80-100%</v>
      </c>
      <c r="AO117" s="345">
        <f t="shared" si="123"/>
        <v>0</v>
      </c>
      <c r="AP117" s="350">
        <f t="shared" si="124"/>
        <v>0</v>
      </c>
      <c r="AQ117" s="348">
        <f t="shared" si="125"/>
        <v>0.52749999999999997</v>
      </c>
      <c r="AR117" s="348">
        <f t="shared" si="126"/>
        <v>0</v>
      </c>
      <c r="AS117" s="348">
        <f t="shared" si="127"/>
        <v>0</v>
      </c>
      <c r="AT117" s="458">
        <v>1</v>
      </c>
      <c r="AU117" s="459">
        <f t="shared" si="128"/>
        <v>211</v>
      </c>
      <c r="AV117" s="448"/>
      <c r="AW117" s="813">
        <v>0</v>
      </c>
      <c r="AX117" s="449">
        <v>6</v>
      </c>
      <c r="AY117" s="431"/>
      <c r="AZ117" s="431">
        <v>0</v>
      </c>
      <c r="BA117" s="431"/>
      <c r="BB117" s="442" t="s">
        <v>290</v>
      </c>
      <c r="BC117" s="810">
        <f t="shared" si="129"/>
        <v>0.56872037914691942</v>
      </c>
      <c r="BD117" s="348">
        <f t="shared" si="130"/>
        <v>120</v>
      </c>
      <c r="BE117" s="351">
        <f t="shared" si="131"/>
        <v>0.56872037914691942</v>
      </c>
      <c r="BF117" s="348">
        <f t="shared" si="132"/>
        <v>120</v>
      </c>
      <c r="BG117" s="351">
        <f t="shared" si="133"/>
        <v>0</v>
      </c>
      <c r="BH117" s="348">
        <f t="shared" si="134"/>
        <v>0</v>
      </c>
      <c r="BI117" s="447">
        <v>0</v>
      </c>
      <c r="BJ117" s="463">
        <v>0.57299999999999995</v>
      </c>
      <c r="BK117" s="352">
        <f t="shared" si="147"/>
        <v>120.90299999999999</v>
      </c>
      <c r="BL117" s="353">
        <f t="shared" si="148"/>
        <v>10.55</v>
      </c>
      <c r="BM117" s="431">
        <v>2</v>
      </c>
      <c r="BN117" s="431" t="s">
        <v>290</v>
      </c>
      <c r="BO117" s="351">
        <f t="shared" si="135"/>
        <v>0.94786729857819907</v>
      </c>
      <c r="BP117" s="348">
        <f t="shared" si="136"/>
        <v>200</v>
      </c>
      <c r="BQ117" s="353">
        <f t="shared" si="137"/>
        <v>0</v>
      </c>
      <c r="BR117" s="458">
        <v>0.95</v>
      </c>
      <c r="BS117" s="348">
        <f t="shared" si="138"/>
        <v>200.45</v>
      </c>
      <c r="BT117" s="447">
        <v>0</v>
      </c>
      <c r="BU117" s="351">
        <f t="shared" si="139"/>
        <v>0</v>
      </c>
      <c r="BV117" s="353">
        <f t="shared" si="140"/>
        <v>0</v>
      </c>
      <c r="BW117" s="451">
        <v>0</v>
      </c>
      <c r="BX117" s="473"/>
      <c r="BY117" s="475">
        <v>41996</v>
      </c>
      <c r="BZ117" s="663" t="s">
        <v>820</v>
      </c>
      <c r="CA117" s="666">
        <v>0</v>
      </c>
      <c r="CB117" s="354" t="str">
        <f t="shared" si="141"/>
        <v>To be realised</v>
      </c>
      <c r="CC117" s="431">
        <v>0</v>
      </c>
      <c r="CD117" s="431">
        <v>0</v>
      </c>
      <c r="CE117" s="355">
        <f t="shared" si="142"/>
        <v>0</v>
      </c>
      <c r="CF117" s="356">
        <f t="shared" si="143"/>
        <v>1</v>
      </c>
      <c r="CG117" s="348">
        <f t="shared" si="144"/>
        <v>211</v>
      </c>
      <c r="CH117" s="370">
        <f t="shared" si="145"/>
        <v>13</v>
      </c>
      <c r="CI117" s="441"/>
      <c r="CJ117" s="451">
        <v>0</v>
      </c>
      <c r="CK117" s="372">
        <f t="shared" si="149"/>
        <v>0</v>
      </c>
      <c r="CL117" s="441">
        <v>0</v>
      </c>
      <c r="CM117" s="357" t="str">
        <f t="shared" si="146"/>
        <v>No coverage</v>
      </c>
      <c r="CN117" s="447">
        <v>0</v>
      </c>
      <c r="CO117" s="753" t="s">
        <v>292</v>
      </c>
      <c r="CP117" s="482"/>
    </row>
    <row r="118" spans="2:94" s="36" customFormat="1" ht="30.75" customHeight="1" x14ac:dyDescent="0.2">
      <c r="B118" s="438" t="s">
        <v>183</v>
      </c>
      <c r="C118" s="430" t="s">
        <v>902</v>
      </c>
      <c r="D118" s="430" t="s">
        <v>259</v>
      </c>
      <c r="E118" s="430" t="s">
        <v>903</v>
      </c>
      <c r="F118" s="430">
        <v>97.429860000000005</v>
      </c>
      <c r="G118" s="430">
        <v>24.630859999999998</v>
      </c>
      <c r="H118" s="430" t="s">
        <v>453</v>
      </c>
      <c r="I118" s="430" t="s">
        <v>213</v>
      </c>
      <c r="J118" s="430" t="s">
        <v>814</v>
      </c>
      <c r="K118" s="430" t="s">
        <v>801</v>
      </c>
      <c r="L118" s="721">
        <v>39</v>
      </c>
      <c r="M118" s="721">
        <v>176</v>
      </c>
      <c r="N118" s="819"/>
      <c r="O118" s="820">
        <v>176</v>
      </c>
      <c r="P118" s="796" t="str">
        <f t="shared" si="113"/>
        <v>1. Small</v>
      </c>
      <c r="Q118" s="797"/>
      <c r="R118" s="432"/>
      <c r="S118" s="793" t="s">
        <v>299</v>
      </c>
      <c r="T118" s="365" t="str">
        <f t="shared" si="114"/>
        <v>Not covered</v>
      </c>
      <c r="U118" s="437" t="s">
        <v>619</v>
      </c>
      <c r="V118" s="783" t="s">
        <v>254</v>
      </c>
      <c r="W118" s="363" t="str">
        <f t="shared" si="115"/>
        <v>Not documented</v>
      </c>
      <c r="X118" s="441">
        <v>0</v>
      </c>
      <c r="Y118" s="431">
        <v>0</v>
      </c>
      <c r="Z118" s="660" t="s">
        <v>19</v>
      </c>
      <c r="AA118" s="442" t="s">
        <v>19</v>
      </c>
      <c r="AB118" s="441">
        <v>0</v>
      </c>
      <c r="AC118" s="447">
        <v>0</v>
      </c>
      <c r="AD118" s="831">
        <v>0</v>
      </c>
      <c r="AE118" s="454">
        <v>0</v>
      </c>
      <c r="AF118" s="463">
        <v>0</v>
      </c>
      <c r="AG118" s="455"/>
      <c r="AH118" s="368">
        <f t="shared" si="116"/>
        <v>0</v>
      </c>
      <c r="AI118" s="346">
        <f t="shared" si="117"/>
        <v>0</v>
      </c>
      <c r="AJ118" s="347">
        <f t="shared" si="118"/>
        <v>0</v>
      </c>
      <c r="AK118" s="348">
        <f t="shared" si="119"/>
        <v>0</v>
      </c>
      <c r="AL118" s="345">
        <f t="shared" si="120"/>
        <v>0</v>
      </c>
      <c r="AM118" s="348">
        <f t="shared" si="121"/>
        <v>0</v>
      </c>
      <c r="AN118" s="349" t="str">
        <f t="shared" si="122"/>
        <v>0-10%</v>
      </c>
      <c r="AO118" s="345">
        <f t="shared" si="123"/>
        <v>0</v>
      </c>
      <c r="AP118" s="350">
        <f t="shared" si="124"/>
        <v>0</v>
      </c>
      <c r="AQ118" s="348">
        <f t="shared" si="125"/>
        <v>0.44</v>
      </c>
      <c r="AR118" s="348">
        <f t="shared" si="126"/>
        <v>0</v>
      </c>
      <c r="AS118" s="348">
        <f t="shared" si="127"/>
        <v>0</v>
      </c>
      <c r="AT118" s="458">
        <v>0</v>
      </c>
      <c r="AU118" s="459">
        <f t="shared" si="128"/>
        <v>0</v>
      </c>
      <c r="AV118" s="448"/>
      <c r="AW118" s="813">
        <v>0</v>
      </c>
      <c r="AX118" s="449">
        <v>0</v>
      </c>
      <c r="AY118" s="431"/>
      <c r="AZ118" s="431">
        <v>1</v>
      </c>
      <c r="BA118" s="431"/>
      <c r="BB118" s="442" t="s">
        <v>289</v>
      </c>
      <c r="BC118" s="810">
        <f t="shared" si="129"/>
        <v>0.11363636363636363</v>
      </c>
      <c r="BD118" s="348">
        <f t="shared" si="130"/>
        <v>20</v>
      </c>
      <c r="BE118" s="351">
        <f t="shared" si="131"/>
        <v>0</v>
      </c>
      <c r="BF118" s="348">
        <f t="shared" si="132"/>
        <v>0</v>
      </c>
      <c r="BG118" s="351">
        <f t="shared" si="133"/>
        <v>0.11363636363636363</v>
      </c>
      <c r="BH118" s="348">
        <f t="shared" si="134"/>
        <v>20</v>
      </c>
      <c r="BI118" s="447">
        <v>0</v>
      </c>
      <c r="BJ118" s="463">
        <v>0.11</v>
      </c>
      <c r="BK118" s="352">
        <f t="shared" si="147"/>
        <v>19.36</v>
      </c>
      <c r="BL118" s="353">
        <f t="shared" si="148"/>
        <v>7.8000000000000007</v>
      </c>
      <c r="BM118" s="431">
        <v>0</v>
      </c>
      <c r="BN118" s="431" t="s">
        <v>89</v>
      </c>
      <c r="BO118" s="351">
        <f t="shared" si="135"/>
        <v>0</v>
      </c>
      <c r="BP118" s="348">
        <f t="shared" si="136"/>
        <v>0</v>
      </c>
      <c r="BQ118" s="353">
        <f t="shared" si="137"/>
        <v>1.76</v>
      </c>
      <c r="BR118" s="458">
        <v>0</v>
      </c>
      <c r="BS118" s="348">
        <f t="shared" si="138"/>
        <v>0</v>
      </c>
      <c r="BT118" s="447">
        <v>0</v>
      </c>
      <c r="BU118" s="351">
        <f t="shared" si="139"/>
        <v>0</v>
      </c>
      <c r="BV118" s="353">
        <f t="shared" si="140"/>
        <v>1.76</v>
      </c>
      <c r="BW118" s="451">
        <v>0</v>
      </c>
      <c r="BX118" s="473"/>
      <c r="BY118" s="475"/>
      <c r="BZ118" s="663"/>
      <c r="CA118" s="666"/>
      <c r="CB118" s="354" t="str">
        <f t="shared" si="141"/>
        <v>To be realised</v>
      </c>
      <c r="CC118" s="431">
        <v>0</v>
      </c>
      <c r="CD118" s="431">
        <v>0</v>
      </c>
      <c r="CE118" s="355">
        <f t="shared" si="142"/>
        <v>39</v>
      </c>
      <c r="CF118" s="356">
        <f t="shared" si="143"/>
        <v>0</v>
      </c>
      <c r="CG118" s="348">
        <f t="shared" si="144"/>
        <v>0</v>
      </c>
      <c r="CH118" s="370" t="str">
        <f t="shared" si="145"/>
        <v>Column BN to be completed</v>
      </c>
      <c r="CI118" s="441"/>
      <c r="CJ118" s="453">
        <v>0</v>
      </c>
      <c r="CK118" s="372">
        <f t="shared" si="149"/>
        <v>0</v>
      </c>
      <c r="CL118" s="441">
        <v>2</v>
      </c>
      <c r="CM118" s="357" t="str">
        <f t="shared" si="146"/>
        <v>Excellent coverage</v>
      </c>
      <c r="CN118" s="447">
        <v>0</v>
      </c>
      <c r="CO118" s="753" t="s">
        <v>66</v>
      </c>
      <c r="CP118" s="482"/>
    </row>
    <row r="119" spans="2:94" s="36" customFormat="1" ht="30.75" customHeight="1" x14ac:dyDescent="0.2">
      <c r="B119" s="438" t="s">
        <v>183</v>
      </c>
      <c r="C119" s="430" t="s">
        <v>567</v>
      </c>
      <c r="D119" s="430" t="s">
        <v>259</v>
      </c>
      <c r="E119" s="430" t="s">
        <v>459</v>
      </c>
      <c r="F119" s="430">
        <v>97.417240000000007</v>
      </c>
      <c r="G119" s="430">
        <v>24.49184</v>
      </c>
      <c r="H119" s="430" t="s">
        <v>453</v>
      </c>
      <c r="I119" s="430" t="s">
        <v>213</v>
      </c>
      <c r="J119" s="430" t="s">
        <v>814</v>
      </c>
      <c r="K119" s="430" t="s">
        <v>801</v>
      </c>
      <c r="L119" s="721">
        <v>10</v>
      </c>
      <c r="M119" s="721">
        <v>38</v>
      </c>
      <c r="N119" s="819">
        <v>38</v>
      </c>
      <c r="O119" s="820">
        <v>38</v>
      </c>
      <c r="P119" s="796" t="str">
        <f t="shared" si="113"/>
        <v>1. Small</v>
      </c>
      <c r="Q119" s="797"/>
      <c r="R119" s="432"/>
      <c r="S119" s="793" t="s">
        <v>299</v>
      </c>
      <c r="T119" s="365" t="str">
        <f t="shared" si="114"/>
        <v>Not covered</v>
      </c>
      <c r="U119" s="437" t="s">
        <v>619</v>
      </c>
      <c r="V119" s="783" t="s">
        <v>254</v>
      </c>
      <c r="W119" s="363" t="str">
        <f t="shared" si="115"/>
        <v>Not documented</v>
      </c>
      <c r="X119" s="441">
        <v>0</v>
      </c>
      <c r="Y119" s="431">
        <v>0</v>
      </c>
      <c r="Z119" s="660" t="s">
        <v>19</v>
      </c>
      <c r="AA119" s="442" t="s">
        <v>19</v>
      </c>
      <c r="AB119" s="441">
        <v>0</v>
      </c>
      <c r="AC119" s="447">
        <v>0</v>
      </c>
      <c r="AD119" s="831">
        <v>0</v>
      </c>
      <c r="AE119" s="454">
        <v>0</v>
      </c>
      <c r="AF119" s="463">
        <v>0</v>
      </c>
      <c r="AG119" s="455"/>
      <c r="AH119" s="368">
        <f t="shared" si="116"/>
        <v>0</v>
      </c>
      <c r="AI119" s="346">
        <f t="shared" si="117"/>
        <v>0</v>
      </c>
      <c r="AJ119" s="347">
        <f t="shared" si="118"/>
        <v>0</v>
      </c>
      <c r="AK119" s="348">
        <f t="shared" si="119"/>
        <v>0</v>
      </c>
      <c r="AL119" s="345">
        <f t="shared" si="120"/>
        <v>0</v>
      </c>
      <c r="AM119" s="348">
        <f t="shared" si="121"/>
        <v>0</v>
      </c>
      <c r="AN119" s="349" t="str">
        <f t="shared" si="122"/>
        <v>0-10%</v>
      </c>
      <c r="AO119" s="345">
        <f t="shared" si="123"/>
        <v>0</v>
      </c>
      <c r="AP119" s="350">
        <f t="shared" si="124"/>
        <v>0</v>
      </c>
      <c r="AQ119" s="348">
        <f t="shared" si="125"/>
        <v>9.5000000000000001E-2</v>
      </c>
      <c r="AR119" s="348">
        <f t="shared" si="126"/>
        <v>0</v>
      </c>
      <c r="AS119" s="348">
        <f t="shared" si="127"/>
        <v>0</v>
      </c>
      <c r="AT119" s="458">
        <v>0</v>
      </c>
      <c r="AU119" s="459">
        <f t="shared" si="128"/>
        <v>0</v>
      </c>
      <c r="AV119" s="448"/>
      <c r="AW119" s="813">
        <v>0</v>
      </c>
      <c r="AX119" s="449">
        <v>0</v>
      </c>
      <c r="AY119" s="431"/>
      <c r="AZ119" s="431">
        <v>0</v>
      </c>
      <c r="BA119" s="431"/>
      <c r="BB119" s="442" t="s">
        <v>289</v>
      </c>
      <c r="BC119" s="810">
        <f t="shared" si="129"/>
        <v>0</v>
      </c>
      <c r="BD119" s="348">
        <f t="shared" si="130"/>
        <v>0</v>
      </c>
      <c r="BE119" s="351">
        <f t="shared" si="131"/>
        <v>0</v>
      </c>
      <c r="BF119" s="348">
        <f t="shared" si="132"/>
        <v>0</v>
      </c>
      <c r="BG119" s="351">
        <f t="shared" si="133"/>
        <v>0</v>
      </c>
      <c r="BH119" s="348">
        <f t="shared" si="134"/>
        <v>0</v>
      </c>
      <c r="BI119" s="447">
        <v>0</v>
      </c>
      <c r="BJ119" s="463">
        <v>0</v>
      </c>
      <c r="BK119" s="352">
        <f t="shared" si="147"/>
        <v>0</v>
      </c>
      <c r="BL119" s="353">
        <f t="shared" si="148"/>
        <v>1.9</v>
      </c>
      <c r="BM119" s="431">
        <v>0</v>
      </c>
      <c r="BN119" s="431" t="s">
        <v>89</v>
      </c>
      <c r="BO119" s="351">
        <f t="shared" si="135"/>
        <v>0</v>
      </c>
      <c r="BP119" s="348">
        <f t="shared" si="136"/>
        <v>0</v>
      </c>
      <c r="BQ119" s="353">
        <f t="shared" si="137"/>
        <v>0.38</v>
      </c>
      <c r="BR119" s="458">
        <v>0</v>
      </c>
      <c r="BS119" s="348">
        <f t="shared" si="138"/>
        <v>0</v>
      </c>
      <c r="BT119" s="447">
        <v>0</v>
      </c>
      <c r="BU119" s="351">
        <f t="shared" si="139"/>
        <v>0</v>
      </c>
      <c r="BV119" s="353">
        <f t="shared" si="140"/>
        <v>0.38</v>
      </c>
      <c r="BW119" s="451">
        <v>0</v>
      </c>
      <c r="BX119" s="473"/>
      <c r="BY119" s="475"/>
      <c r="BZ119" s="663" t="s">
        <v>825</v>
      </c>
      <c r="CA119" s="666">
        <v>0</v>
      </c>
      <c r="CB119" s="354" t="str">
        <f t="shared" si="141"/>
        <v>To be realised</v>
      </c>
      <c r="CC119" s="431">
        <v>0</v>
      </c>
      <c r="CD119" s="431">
        <v>0</v>
      </c>
      <c r="CE119" s="355">
        <f t="shared" si="142"/>
        <v>10</v>
      </c>
      <c r="CF119" s="356">
        <f t="shared" si="143"/>
        <v>0</v>
      </c>
      <c r="CG119" s="348">
        <f t="shared" si="144"/>
        <v>0</v>
      </c>
      <c r="CH119" s="370" t="str">
        <f t="shared" si="145"/>
        <v>Column BN to be completed</v>
      </c>
      <c r="CI119" s="441"/>
      <c r="CJ119" s="453">
        <v>0</v>
      </c>
      <c r="CK119" s="372">
        <f t="shared" si="149"/>
        <v>0</v>
      </c>
      <c r="CL119" s="441">
        <v>2</v>
      </c>
      <c r="CM119" s="357" t="str">
        <f t="shared" si="146"/>
        <v>Excellent coverage</v>
      </c>
      <c r="CN119" s="447">
        <v>0</v>
      </c>
      <c r="CO119" s="753" t="s">
        <v>66</v>
      </c>
      <c r="CP119" s="482"/>
    </row>
    <row r="120" spans="2:94" s="36" customFormat="1" ht="30.75" customHeight="1" x14ac:dyDescent="0.2">
      <c r="B120" s="438" t="s">
        <v>209</v>
      </c>
      <c r="C120" s="430" t="s">
        <v>904</v>
      </c>
      <c r="D120" s="430" t="s">
        <v>266</v>
      </c>
      <c r="E120" s="430" t="s">
        <v>905</v>
      </c>
      <c r="F120" s="430">
        <v>98.115809999999996</v>
      </c>
      <c r="G120" s="430">
        <v>24.08738</v>
      </c>
      <c r="H120" s="430" t="s">
        <v>453</v>
      </c>
      <c r="I120" s="430" t="s">
        <v>221</v>
      </c>
      <c r="J120" s="430" t="s">
        <v>814</v>
      </c>
      <c r="K120" s="430" t="s">
        <v>801</v>
      </c>
      <c r="L120" s="721">
        <v>32</v>
      </c>
      <c r="M120" s="721">
        <v>187</v>
      </c>
      <c r="N120" s="431"/>
      <c r="O120" s="660">
        <v>187</v>
      </c>
      <c r="P120" s="796" t="str">
        <f t="shared" si="113"/>
        <v>1. Small</v>
      </c>
      <c r="Q120" s="797"/>
      <c r="R120" s="432"/>
      <c r="S120" s="793" t="s">
        <v>299</v>
      </c>
      <c r="T120" s="365" t="str">
        <f t="shared" si="114"/>
        <v>Not covered</v>
      </c>
      <c r="U120" s="437" t="s">
        <v>619</v>
      </c>
      <c r="V120" s="783" t="s">
        <v>254</v>
      </c>
      <c r="W120" s="363" t="str">
        <f t="shared" si="115"/>
        <v>Not documented</v>
      </c>
      <c r="X120" s="441">
        <v>0</v>
      </c>
      <c r="Y120" s="431">
        <v>0</v>
      </c>
      <c r="Z120" s="660" t="s">
        <v>19</v>
      </c>
      <c r="AA120" s="442" t="s">
        <v>19</v>
      </c>
      <c r="AB120" s="441">
        <v>0</v>
      </c>
      <c r="AC120" s="447">
        <v>0</v>
      </c>
      <c r="AD120" s="831">
        <v>0</v>
      </c>
      <c r="AE120" s="454">
        <v>0</v>
      </c>
      <c r="AF120" s="463">
        <v>0</v>
      </c>
      <c r="AG120" s="455"/>
      <c r="AH120" s="368">
        <f t="shared" si="116"/>
        <v>0</v>
      </c>
      <c r="AI120" s="346">
        <f t="shared" si="117"/>
        <v>0</v>
      </c>
      <c r="AJ120" s="347">
        <f t="shared" si="118"/>
        <v>0</v>
      </c>
      <c r="AK120" s="348">
        <f t="shared" si="119"/>
        <v>0</v>
      </c>
      <c r="AL120" s="345">
        <f t="shared" si="120"/>
        <v>0</v>
      </c>
      <c r="AM120" s="348">
        <f t="shared" si="121"/>
        <v>0</v>
      </c>
      <c r="AN120" s="349" t="str">
        <f t="shared" si="122"/>
        <v>0-10%</v>
      </c>
      <c r="AO120" s="345">
        <f t="shared" si="123"/>
        <v>0</v>
      </c>
      <c r="AP120" s="350">
        <f t="shared" si="124"/>
        <v>0</v>
      </c>
      <c r="AQ120" s="348">
        <f t="shared" si="125"/>
        <v>0.46750000000000003</v>
      </c>
      <c r="AR120" s="348">
        <f t="shared" si="126"/>
        <v>0</v>
      </c>
      <c r="AS120" s="348">
        <f t="shared" si="127"/>
        <v>0</v>
      </c>
      <c r="AT120" s="458">
        <v>0</v>
      </c>
      <c r="AU120" s="459">
        <f t="shared" si="128"/>
        <v>0</v>
      </c>
      <c r="AV120" s="448"/>
      <c r="AW120" s="813">
        <v>0</v>
      </c>
      <c r="AX120" s="449">
        <v>0</v>
      </c>
      <c r="AY120" s="431"/>
      <c r="AZ120" s="431">
        <v>0</v>
      </c>
      <c r="BA120" s="431"/>
      <c r="BB120" s="442" t="s">
        <v>289</v>
      </c>
      <c r="BC120" s="810">
        <f t="shared" si="129"/>
        <v>0</v>
      </c>
      <c r="BD120" s="348">
        <f t="shared" si="130"/>
        <v>0</v>
      </c>
      <c r="BE120" s="351">
        <f t="shared" si="131"/>
        <v>0</v>
      </c>
      <c r="BF120" s="348">
        <f t="shared" si="132"/>
        <v>0</v>
      </c>
      <c r="BG120" s="351">
        <f t="shared" si="133"/>
        <v>0</v>
      </c>
      <c r="BH120" s="348">
        <f t="shared" si="134"/>
        <v>0</v>
      </c>
      <c r="BI120" s="447">
        <v>0</v>
      </c>
      <c r="BJ120" s="463">
        <v>0</v>
      </c>
      <c r="BK120" s="352">
        <f t="shared" si="147"/>
        <v>0</v>
      </c>
      <c r="BL120" s="353">
        <f t="shared" si="148"/>
        <v>9.35</v>
      </c>
      <c r="BM120" s="431">
        <v>0</v>
      </c>
      <c r="BN120" s="431" t="s">
        <v>89</v>
      </c>
      <c r="BO120" s="351">
        <f t="shared" si="135"/>
        <v>0</v>
      </c>
      <c r="BP120" s="348">
        <f t="shared" si="136"/>
        <v>0</v>
      </c>
      <c r="BQ120" s="353">
        <f t="shared" si="137"/>
        <v>1.87</v>
      </c>
      <c r="BR120" s="458">
        <v>0</v>
      </c>
      <c r="BS120" s="348">
        <f t="shared" si="138"/>
        <v>0</v>
      </c>
      <c r="BT120" s="447">
        <v>0</v>
      </c>
      <c r="BU120" s="351">
        <f t="shared" si="139"/>
        <v>0</v>
      </c>
      <c r="BV120" s="353">
        <f t="shared" si="140"/>
        <v>1.87</v>
      </c>
      <c r="BW120" s="451">
        <v>0</v>
      </c>
      <c r="BX120" s="473"/>
      <c r="BY120" s="475"/>
      <c r="BZ120" s="663"/>
      <c r="CA120" s="666"/>
      <c r="CB120" s="354" t="str">
        <f t="shared" si="141"/>
        <v>To be realised</v>
      </c>
      <c r="CC120" s="431"/>
      <c r="CD120" s="431"/>
      <c r="CE120" s="355">
        <f t="shared" si="142"/>
        <v>32</v>
      </c>
      <c r="CF120" s="356">
        <f t="shared" si="143"/>
        <v>0</v>
      </c>
      <c r="CG120" s="348">
        <f t="shared" si="144"/>
        <v>0</v>
      </c>
      <c r="CH120" s="370" t="str">
        <f t="shared" si="145"/>
        <v>Column BN to be completed</v>
      </c>
      <c r="CI120" s="441"/>
      <c r="CJ120" s="453">
        <v>0</v>
      </c>
      <c r="CK120" s="372">
        <f t="shared" si="149"/>
        <v>0</v>
      </c>
      <c r="CL120" s="441">
        <v>2</v>
      </c>
      <c r="CM120" s="357" t="str">
        <f t="shared" si="146"/>
        <v>Excellent coverage</v>
      </c>
      <c r="CN120" s="447">
        <v>0</v>
      </c>
      <c r="CO120" s="753" t="s">
        <v>65</v>
      </c>
      <c r="CP120" s="482"/>
    </row>
    <row r="121" spans="2:94" s="36" customFormat="1" ht="30.75" customHeight="1" x14ac:dyDescent="0.2">
      <c r="B121" s="438" t="s">
        <v>209</v>
      </c>
      <c r="C121" s="430" t="s">
        <v>906</v>
      </c>
      <c r="D121" s="430" t="s">
        <v>266</v>
      </c>
      <c r="E121" s="430" t="s">
        <v>907</v>
      </c>
      <c r="F121" s="430">
        <v>98.320651999999995</v>
      </c>
      <c r="G121" s="430">
        <v>24.101320999999999</v>
      </c>
      <c r="H121" s="430" t="s">
        <v>453</v>
      </c>
      <c r="I121" s="430" t="s">
        <v>221</v>
      </c>
      <c r="J121" s="430" t="s">
        <v>812</v>
      </c>
      <c r="K121" s="430" t="s">
        <v>801</v>
      </c>
      <c r="L121" s="721">
        <v>32</v>
      </c>
      <c r="M121" s="721">
        <v>156</v>
      </c>
      <c r="N121" s="431"/>
      <c r="O121" s="660">
        <v>156</v>
      </c>
      <c r="P121" s="796" t="str">
        <f t="shared" si="113"/>
        <v>1. Small</v>
      </c>
      <c r="Q121" s="797"/>
      <c r="R121" s="432"/>
      <c r="S121" s="793" t="s">
        <v>299</v>
      </c>
      <c r="T121" s="365" t="str">
        <f t="shared" si="114"/>
        <v>Not covered</v>
      </c>
      <c r="U121" s="437" t="s">
        <v>619</v>
      </c>
      <c r="V121" s="783" t="s">
        <v>254</v>
      </c>
      <c r="W121" s="363" t="str">
        <f t="shared" si="115"/>
        <v>Not documented</v>
      </c>
      <c r="X121" s="441">
        <v>0</v>
      </c>
      <c r="Y121" s="431">
        <v>0</v>
      </c>
      <c r="Z121" s="660" t="s">
        <v>19</v>
      </c>
      <c r="AA121" s="442" t="s">
        <v>19</v>
      </c>
      <c r="AB121" s="441">
        <v>0</v>
      </c>
      <c r="AC121" s="447">
        <v>0</v>
      </c>
      <c r="AD121" s="831">
        <v>0</v>
      </c>
      <c r="AE121" s="454">
        <v>0</v>
      </c>
      <c r="AF121" s="463">
        <v>0</v>
      </c>
      <c r="AG121" s="455"/>
      <c r="AH121" s="368">
        <f t="shared" si="116"/>
        <v>0</v>
      </c>
      <c r="AI121" s="346">
        <f t="shared" si="117"/>
        <v>0</v>
      </c>
      <c r="AJ121" s="347">
        <f t="shared" si="118"/>
        <v>0</v>
      </c>
      <c r="AK121" s="348">
        <f t="shared" si="119"/>
        <v>0</v>
      </c>
      <c r="AL121" s="345">
        <f t="shared" si="120"/>
        <v>0</v>
      </c>
      <c r="AM121" s="348">
        <f t="shared" si="121"/>
        <v>0</v>
      </c>
      <c r="AN121" s="349" t="str">
        <f t="shared" si="122"/>
        <v>0-10%</v>
      </c>
      <c r="AO121" s="345">
        <f t="shared" si="123"/>
        <v>0</v>
      </c>
      <c r="AP121" s="350">
        <f t="shared" si="124"/>
        <v>0</v>
      </c>
      <c r="AQ121" s="348">
        <f t="shared" si="125"/>
        <v>0.39</v>
      </c>
      <c r="AR121" s="348">
        <f t="shared" si="126"/>
        <v>0</v>
      </c>
      <c r="AS121" s="348">
        <f t="shared" si="127"/>
        <v>0</v>
      </c>
      <c r="AT121" s="458">
        <v>0</v>
      </c>
      <c r="AU121" s="459">
        <f t="shared" si="128"/>
        <v>0</v>
      </c>
      <c r="AV121" s="448"/>
      <c r="AW121" s="813">
        <v>0</v>
      </c>
      <c r="AX121" s="449">
        <v>0</v>
      </c>
      <c r="AY121" s="431"/>
      <c r="AZ121" s="431">
        <v>0</v>
      </c>
      <c r="BA121" s="431" t="s">
        <v>889</v>
      </c>
      <c r="BB121" s="442" t="s">
        <v>289</v>
      </c>
      <c r="BC121" s="810">
        <f t="shared" si="129"/>
        <v>0</v>
      </c>
      <c r="BD121" s="348">
        <f t="shared" si="130"/>
        <v>0</v>
      </c>
      <c r="BE121" s="351">
        <f t="shared" si="131"/>
        <v>0</v>
      </c>
      <c r="BF121" s="348">
        <f t="shared" si="132"/>
        <v>0</v>
      </c>
      <c r="BG121" s="351">
        <f t="shared" si="133"/>
        <v>0</v>
      </c>
      <c r="BH121" s="348">
        <f t="shared" si="134"/>
        <v>0</v>
      </c>
      <c r="BI121" s="447">
        <v>0</v>
      </c>
      <c r="BJ121" s="463">
        <v>0</v>
      </c>
      <c r="BK121" s="352">
        <f t="shared" si="147"/>
        <v>0</v>
      </c>
      <c r="BL121" s="353">
        <f t="shared" si="148"/>
        <v>7.8</v>
      </c>
      <c r="BM121" s="431">
        <v>0</v>
      </c>
      <c r="BN121" s="431" t="s">
        <v>89</v>
      </c>
      <c r="BO121" s="351">
        <f t="shared" si="135"/>
        <v>0</v>
      </c>
      <c r="BP121" s="348">
        <f t="shared" si="136"/>
        <v>0</v>
      </c>
      <c r="BQ121" s="353">
        <f t="shared" si="137"/>
        <v>1.56</v>
      </c>
      <c r="BR121" s="458">
        <v>0</v>
      </c>
      <c r="BS121" s="348">
        <f t="shared" si="138"/>
        <v>0</v>
      </c>
      <c r="BT121" s="447">
        <v>0</v>
      </c>
      <c r="BU121" s="351">
        <f t="shared" si="139"/>
        <v>0</v>
      </c>
      <c r="BV121" s="353">
        <f t="shared" si="140"/>
        <v>1.56</v>
      </c>
      <c r="BW121" s="451">
        <v>0</v>
      </c>
      <c r="BX121" s="473"/>
      <c r="BY121" s="475"/>
      <c r="BZ121" s="663"/>
      <c r="CA121" s="666"/>
      <c r="CB121" s="354" t="str">
        <f t="shared" si="141"/>
        <v>To be realised</v>
      </c>
      <c r="CC121" s="431"/>
      <c r="CD121" s="431"/>
      <c r="CE121" s="355">
        <f t="shared" si="142"/>
        <v>32</v>
      </c>
      <c r="CF121" s="356">
        <f t="shared" si="143"/>
        <v>0</v>
      </c>
      <c r="CG121" s="348">
        <f t="shared" si="144"/>
        <v>0</v>
      </c>
      <c r="CH121" s="370" t="str">
        <f t="shared" si="145"/>
        <v>Column BN to be completed</v>
      </c>
      <c r="CI121" s="441"/>
      <c r="CJ121" s="453">
        <v>0</v>
      </c>
      <c r="CK121" s="372">
        <f t="shared" si="149"/>
        <v>0</v>
      </c>
      <c r="CL121" s="441">
        <v>4</v>
      </c>
      <c r="CM121" s="357" t="str">
        <f t="shared" si="146"/>
        <v>Excellent coverage</v>
      </c>
      <c r="CN121" s="447">
        <v>0</v>
      </c>
      <c r="CO121" s="753" t="s">
        <v>66</v>
      </c>
      <c r="CP121" s="482"/>
    </row>
    <row r="122" spans="2:94" s="36" customFormat="1" ht="30.75" customHeight="1" x14ac:dyDescent="0.2">
      <c r="B122" s="438" t="s">
        <v>209</v>
      </c>
      <c r="C122" s="430" t="s">
        <v>908</v>
      </c>
      <c r="D122" s="430" t="s">
        <v>266</v>
      </c>
      <c r="E122" s="430" t="s">
        <v>909</v>
      </c>
      <c r="F122" s="430">
        <v>98.054946000000001</v>
      </c>
      <c r="G122" s="430">
        <v>24.008452999999999</v>
      </c>
      <c r="H122" s="430" t="s">
        <v>453</v>
      </c>
      <c r="I122" s="430" t="s">
        <v>221</v>
      </c>
      <c r="J122" s="430" t="s">
        <v>814</v>
      </c>
      <c r="K122" s="430" t="s">
        <v>801</v>
      </c>
      <c r="L122" s="721">
        <v>123</v>
      </c>
      <c r="M122" s="721">
        <v>503</v>
      </c>
      <c r="N122" s="431"/>
      <c r="O122" s="660">
        <v>503</v>
      </c>
      <c r="P122" s="796" t="str">
        <f t="shared" si="113"/>
        <v>2. Medium</v>
      </c>
      <c r="Q122" s="797"/>
      <c r="R122" s="432"/>
      <c r="S122" s="793" t="s">
        <v>299</v>
      </c>
      <c r="T122" s="365" t="str">
        <f t="shared" si="114"/>
        <v>Not covered</v>
      </c>
      <c r="U122" s="437" t="s">
        <v>619</v>
      </c>
      <c r="V122" s="783" t="s">
        <v>254</v>
      </c>
      <c r="W122" s="363" t="str">
        <f t="shared" si="115"/>
        <v>Not documented</v>
      </c>
      <c r="X122" s="441">
        <v>0</v>
      </c>
      <c r="Y122" s="431">
        <v>0</v>
      </c>
      <c r="Z122" s="660" t="s">
        <v>19</v>
      </c>
      <c r="AA122" s="442" t="s">
        <v>19</v>
      </c>
      <c r="AB122" s="441">
        <v>0</v>
      </c>
      <c r="AC122" s="447">
        <v>0</v>
      </c>
      <c r="AD122" s="831">
        <v>0</v>
      </c>
      <c r="AE122" s="454">
        <v>0</v>
      </c>
      <c r="AF122" s="463">
        <v>0</v>
      </c>
      <c r="AG122" s="455"/>
      <c r="AH122" s="368">
        <f t="shared" si="116"/>
        <v>0</v>
      </c>
      <c r="AI122" s="346">
        <f t="shared" si="117"/>
        <v>0</v>
      </c>
      <c r="AJ122" s="347">
        <f t="shared" si="118"/>
        <v>0</v>
      </c>
      <c r="AK122" s="348">
        <f t="shared" si="119"/>
        <v>0</v>
      </c>
      <c r="AL122" s="345">
        <f t="shared" si="120"/>
        <v>0</v>
      </c>
      <c r="AM122" s="348">
        <f t="shared" si="121"/>
        <v>0</v>
      </c>
      <c r="AN122" s="349" t="str">
        <f t="shared" si="122"/>
        <v>0-10%</v>
      </c>
      <c r="AO122" s="345">
        <f t="shared" si="123"/>
        <v>0</v>
      </c>
      <c r="AP122" s="350">
        <f t="shared" si="124"/>
        <v>0</v>
      </c>
      <c r="AQ122" s="348">
        <f t="shared" si="125"/>
        <v>1.2575000000000001</v>
      </c>
      <c r="AR122" s="348">
        <f t="shared" si="126"/>
        <v>0</v>
      </c>
      <c r="AS122" s="348">
        <f t="shared" si="127"/>
        <v>0</v>
      </c>
      <c r="AT122" s="458">
        <v>0</v>
      </c>
      <c r="AU122" s="459">
        <f t="shared" si="128"/>
        <v>0</v>
      </c>
      <c r="AV122" s="448"/>
      <c r="AW122" s="813">
        <v>2</v>
      </c>
      <c r="AX122" s="449">
        <v>0</v>
      </c>
      <c r="AY122" s="431"/>
      <c r="AZ122" s="431">
        <v>0</v>
      </c>
      <c r="BA122" s="431"/>
      <c r="BB122" s="442" t="s">
        <v>289</v>
      </c>
      <c r="BC122" s="810">
        <f t="shared" si="129"/>
        <v>0</v>
      </c>
      <c r="BD122" s="348">
        <f t="shared" si="130"/>
        <v>0</v>
      </c>
      <c r="BE122" s="351">
        <f t="shared" si="131"/>
        <v>0</v>
      </c>
      <c r="BF122" s="348">
        <f t="shared" si="132"/>
        <v>0</v>
      </c>
      <c r="BG122" s="351">
        <f t="shared" si="133"/>
        <v>0</v>
      </c>
      <c r="BH122" s="348">
        <f t="shared" si="134"/>
        <v>0</v>
      </c>
      <c r="BI122" s="447">
        <v>0</v>
      </c>
      <c r="BJ122" s="463">
        <v>0</v>
      </c>
      <c r="BK122" s="352">
        <f t="shared" si="147"/>
        <v>0</v>
      </c>
      <c r="BL122" s="353">
        <f t="shared" si="148"/>
        <v>25.15</v>
      </c>
      <c r="BM122" s="431">
        <v>0</v>
      </c>
      <c r="BN122" s="431" t="s">
        <v>89</v>
      </c>
      <c r="BO122" s="351">
        <f t="shared" si="135"/>
        <v>0</v>
      </c>
      <c r="BP122" s="348">
        <f t="shared" si="136"/>
        <v>0</v>
      </c>
      <c r="BQ122" s="353">
        <f t="shared" si="137"/>
        <v>5.03</v>
      </c>
      <c r="BR122" s="458">
        <v>0</v>
      </c>
      <c r="BS122" s="348">
        <f t="shared" si="138"/>
        <v>0</v>
      </c>
      <c r="BT122" s="447">
        <v>0</v>
      </c>
      <c r="BU122" s="351">
        <f t="shared" si="139"/>
        <v>0</v>
      </c>
      <c r="BV122" s="353">
        <f t="shared" si="140"/>
        <v>5.03</v>
      </c>
      <c r="BW122" s="451">
        <v>0</v>
      </c>
      <c r="BX122" s="473"/>
      <c r="BY122" s="475"/>
      <c r="BZ122" s="663"/>
      <c r="CA122" s="666"/>
      <c r="CB122" s="354" t="str">
        <f t="shared" si="141"/>
        <v>To be realised</v>
      </c>
      <c r="CC122" s="431"/>
      <c r="CD122" s="431"/>
      <c r="CE122" s="355">
        <f t="shared" si="142"/>
        <v>123</v>
      </c>
      <c r="CF122" s="356">
        <f t="shared" si="143"/>
        <v>0</v>
      </c>
      <c r="CG122" s="348">
        <f t="shared" si="144"/>
        <v>0</v>
      </c>
      <c r="CH122" s="370" t="str">
        <f t="shared" si="145"/>
        <v>Column BN to be completed</v>
      </c>
      <c r="CI122" s="441"/>
      <c r="CJ122" s="453">
        <v>0</v>
      </c>
      <c r="CK122" s="372">
        <f t="shared" si="149"/>
        <v>0</v>
      </c>
      <c r="CL122" s="441">
        <v>2</v>
      </c>
      <c r="CM122" s="357" t="str">
        <f t="shared" si="146"/>
        <v>Excellent coverage</v>
      </c>
      <c r="CN122" s="447">
        <v>0</v>
      </c>
      <c r="CO122" s="753" t="s">
        <v>65</v>
      </c>
      <c r="CP122" s="482"/>
    </row>
    <row r="123" spans="2:94" s="36" customFormat="1" ht="30.75" customHeight="1" x14ac:dyDescent="0.2">
      <c r="B123" s="438" t="s">
        <v>209</v>
      </c>
      <c r="C123" s="430" t="s">
        <v>686</v>
      </c>
      <c r="D123" s="430" t="s">
        <v>266</v>
      </c>
      <c r="E123" s="430" t="s">
        <v>472</v>
      </c>
      <c r="F123" s="430">
        <v>97.909217999999996</v>
      </c>
      <c r="G123" s="430">
        <v>24.005448999999999</v>
      </c>
      <c r="H123" s="430" t="s">
        <v>442</v>
      </c>
      <c r="I123" s="430" t="s">
        <v>213</v>
      </c>
      <c r="J123" s="430" t="s">
        <v>812</v>
      </c>
      <c r="K123" s="430" t="s">
        <v>800</v>
      </c>
      <c r="L123" s="721">
        <v>56</v>
      </c>
      <c r="M123" s="721">
        <v>264</v>
      </c>
      <c r="N123" s="431">
        <v>240</v>
      </c>
      <c r="O123" s="660">
        <v>240</v>
      </c>
      <c r="P123" s="796" t="str">
        <f t="shared" si="113"/>
        <v>2. Medium</v>
      </c>
      <c r="Q123" s="797" t="s">
        <v>923</v>
      </c>
      <c r="R123" s="432" t="s">
        <v>234</v>
      </c>
      <c r="S123" s="793" t="s">
        <v>232</v>
      </c>
      <c r="T123" s="365" t="str">
        <f t="shared" si="114"/>
        <v>Covered</v>
      </c>
      <c r="U123" s="437">
        <v>42521</v>
      </c>
      <c r="V123" s="784" t="s">
        <v>252</v>
      </c>
      <c r="W123" s="363" t="str">
        <f t="shared" si="115"/>
        <v>Documented</v>
      </c>
      <c r="X123" s="441">
        <v>0</v>
      </c>
      <c r="Y123" s="431">
        <v>0</v>
      </c>
      <c r="Z123" s="660" t="s">
        <v>18</v>
      </c>
      <c r="AA123" s="442" t="s">
        <v>19</v>
      </c>
      <c r="AB123" s="441">
        <v>0</v>
      </c>
      <c r="AC123" s="447">
        <v>0</v>
      </c>
      <c r="AD123" s="831">
        <v>20000</v>
      </c>
      <c r="AE123" s="454">
        <v>1</v>
      </c>
      <c r="AF123" s="463">
        <v>1</v>
      </c>
      <c r="AG123" s="455" t="s">
        <v>830</v>
      </c>
      <c r="AH123" s="368">
        <f t="shared" si="116"/>
        <v>1</v>
      </c>
      <c r="AI123" s="346">
        <f t="shared" si="117"/>
        <v>240</v>
      </c>
      <c r="AJ123" s="347">
        <f t="shared" si="118"/>
        <v>1</v>
      </c>
      <c r="AK123" s="348">
        <f t="shared" si="119"/>
        <v>240</v>
      </c>
      <c r="AL123" s="345">
        <f t="shared" si="120"/>
        <v>1</v>
      </c>
      <c r="AM123" s="348">
        <f t="shared" si="121"/>
        <v>240</v>
      </c>
      <c r="AN123" s="349" t="str">
        <f t="shared" si="122"/>
        <v>80-100%</v>
      </c>
      <c r="AO123" s="345">
        <f t="shared" si="123"/>
        <v>0</v>
      </c>
      <c r="AP123" s="350">
        <f t="shared" si="124"/>
        <v>0</v>
      </c>
      <c r="AQ123" s="348">
        <f t="shared" si="125"/>
        <v>0.6</v>
      </c>
      <c r="AR123" s="348">
        <f t="shared" si="126"/>
        <v>56</v>
      </c>
      <c r="AS123" s="348">
        <f t="shared" si="127"/>
        <v>240</v>
      </c>
      <c r="AT123" s="458">
        <v>1</v>
      </c>
      <c r="AU123" s="459">
        <f t="shared" si="128"/>
        <v>240</v>
      </c>
      <c r="AV123" s="448"/>
      <c r="AW123" s="813">
        <v>0</v>
      </c>
      <c r="AX123" s="449">
        <v>0</v>
      </c>
      <c r="AY123" s="431"/>
      <c r="AZ123" s="431">
        <v>16</v>
      </c>
      <c r="BA123" s="431"/>
      <c r="BB123" s="442" t="s">
        <v>89</v>
      </c>
      <c r="BC123" s="810">
        <f t="shared" si="129"/>
        <v>1</v>
      </c>
      <c r="BD123" s="348">
        <f t="shared" si="130"/>
        <v>240</v>
      </c>
      <c r="BE123" s="351">
        <f t="shared" si="131"/>
        <v>0</v>
      </c>
      <c r="BF123" s="348">
        <f t="shared" si="132"/>
        <v>0</v>
      </c>
      <c r="BG123" s="351">
        <f t="shared" si="133"/>
        <v>1</v>
      </c>
      <c r="BH123" s="348">
        <f t="shared" si="134"/>
        <v>240</v>
      </c>
      <c r="BI123" s="447">
        <v>3</v>
      </c>
      <c r="BJ123" s="463">
        <v>1</v>
      </c>
      <c r="BK123" s="352">
        <f t="shared" si="147"/>
        <v>240</v>
      </c>
      <c r="BL123" s="353">
        <f t="shared" si="148"/>
        <v>0</v>
      </c>
      <c r="BM123" s="431">
        <v>4</v>
      </c>
      <c r="BN123" s="431" t="s">
        <v>290</v>
      </c>
      <c r="BO123" s="351">
        <f t="shared" si="135"/>
        <v>1</v>
      </c>
      <c r="BP123" s="348">
        <f t="shared" si="136"/>
        <v>240</v>
      </c>
      <c r="BQ123" s="353">
        <f t="shared" si="137"/>
        <v>0</v>
      </c>
      <c r="BR123" s="458">
        <v>1</v>
      </c>
      <c r="BS123" s="348">
        <f t="shared" si="138"/>
        <v>240</v>
      </c>
      <c r="BT123" s="447">
        <v>2</v>
      </c>
      <c r="BU123" s="351">
        <f t="shared" si="139"/>
        <v>0.83333333333333337</v>
      </c>
      <c r="BV123" s="353">
        <f t="shared" si="140"/>
        <v>0.64000000000000012</v>
      </c>
      <c r="BW123" s="451">
        <v>0.88</v>
      </c>
      <c r="BX123" s="473" t="s">
        <v>711</v>
      </c>
      <c r="BY123" s="475">
        <v>42135</v>
      </c>
      <c r="BZ123" s="663" t="s">
        <v>821</v>
      </c>
      <c r="CA123" s="666"/>
      <c r="CB123" s="354">
        <f t="shared" si="141"/>
        <v>42500</v>
      </c>
      <c r="CC123" s="431">
        <v>81</v>
      </c>
      <c r="CD123" s="431">
        <v>7</v>
      </c>
      <c r="CE123" s="355">
        <f t="shared" si="142"/>
        <v>0</v>
      </c>
      <c r="CF123" s="356">
        <f t="shared" si="143"/>
        <v>1</v>
      </c>
      <c r="CG123" s="348">
        <f t="shared" si="144"/>
        <v>240</v>
      </c>
      <c r="CH123" s="370">
        <f t="shared" si="145"/>
        <v>2</v>
      </c>
      <c r="CI123" s="441"/>
      <c r="CJ123" s="451">
        <v>0.5</v>
      </c>
      <c r="CK123" s="372">
        <f t="shared" si="149"/>
        <v>120</v>
      </c>
      <c r="CL123" s="441">
        <v>4</v>
      </c>
      <c r="CM123" s="357" t="str">
        <f t="shared" si="146"/>
        <v>Excellent coverage</v>
      </c>
      <c r="CN123" s="447">
        <v>0</v>
      </c>
      <c r="CO123" s="753" t="s">
        <v>292</v>
      </c>
      <c r="CP123" s="482"/>
    </row>
    <row r="124" spans="2:94" s="36" customFormat="1" ht="30.75" customHeight="1" x14ac:dyDescent="0.2">
      <c r="B124" s="438" t="s">
        <v>209</v>
      </c>
      <c r="C124" s="430" t="s">
        <v>687</v>
      </c>
      <c r="D124" s="430" t="s">
        <v>266</v>
      </c>
      <c r="E124" s="430" t="s">
        <v>473</v>
      </c>
      <c r="F124" s="430">
        <v>97.911671100000007</v>
      </c>
      <c r="G124" s="430">
        <v>24.006896999999999</v>
      </c>
      <c r="H124" s="430" t="s">
        <v>442</v>
      </c>
      <c r="I124" s="430" t="s">
        <v>213</v>
      </c>
      <c r="J124" s="430" t="s">
        <v>812</v>
      </c>
      <c r="K124" s="430" t="s">
        <v>800</v>
      </c>
      <c r="L124" s="721">
        <v>30</v>
      </c>
      <c r="M124" s="721">
        <v>188</v>
      </c>
      <c r="N124" s="431">
        <v>127</v>
      </c>
      <c r="O124" s="660">
        <v>127</v>
      </c>
      <c r="P124" s="796" t="str">
        <f t="shared" si="113"/>
        <v>1. Small</v>
      </c>
      <c r="Q124" s="797"/>
      <c r="R124" s="432" t="s">
        <v>230</v>
      </c>
      <c r="S124" s="793" t="s">
        <v>299</v>
      </c>
      <c r="T124" s="365" t="str">
        <f t="shared" si="114"/>
        <v>Not covered</v>
      </c>
      <c r="U124" s="437" t="s">
        <v>619</v>
      </c>
      <c r="V124" s="783" t="s">
        <v>254</v>
      </c>
      <c r="W124" s="363" t="str">
        <f t="shared" si="115"/>
        <v>Not documented</v>
      </c>
      <c r="X124" s="441">
        <v>0</v>
      </c>
      <c r="Y124" s="431">
        <v>0</v>
      </c>
      <c r="Z124" s="660" t="s">
        <v>19</v>
      </c>
      <c r="AA124" s="442" t="s">
        <v>19</v>
      </c>
      <c r="AB124" s="441">
        <v>0</v>
      </c>
      <c r="AC124" s="447">
        <v>0</v>
      </c>
      <c r="AD124" s="831">
        <v>1000</v>
      </c>
      <c r="AE124" s="454">
        <v>0.6</v>
      </c>
      <c r="AF124" s="463">
        <v>0</v>
      </c>
      <c r="AG124" s="455"/>
      <c r="AH124" s="368">
        <f t="shared" si="116"/>
        <v>0.52493438320209973</v>
      </c>
      <c r="AI124" s="346">
        <f t="shared" si="117"/>
        <v>66.666666666666671</v>
      </c>
      <c r="AJ124" s="347">
        <f t="shared" si="118"/>
        <v>0.52493438320209973</v>
      </c>
      <c r="AK124" s="348">
        <f t="shared" si="119"/>
        <v>66.666666666666671</v>
      </c>
      <c r="AL124" s="345">
        <f t="shared" si="120"/>
        <v>0.52493438320209973</v>
      </c>
      <c r="AM124" s="348">
        <f t="shared" si="121"/>
        <v>66.666666666666671</v>
      </c>
      <c r="AN124" s="349" t="str">
        <f t="shared" si="122"/>
        <v>45-60%</v>
      </c>
      <c r="AO124" s="345">
        <f t="shared" si="123"/>
        <v>0</v>
      </c>
      <c r="AP124" s="350">
        <f t="shared" si="124"/>
        <v>0</v>
      </c>
      <c r="AQ124" s="348">
        <f t="shared" si="125"/>
        <v>0.3175</v>
      </c>
      <c r="AR124" s="348">
        <f t="shared" si="126"/>
        <v>0</v>
      </c>
      <c r="AS124" s="348">
        <f t="shared" si="127"/>
        <v>76.2</v>
      </c>
      <c r="AT124" s="458">
        <v>1</v>
      </c>
      <c r="AU124" s="459">
        <f t="shared" si="128"/>
        <v>127</v>
      </c>
      <c r="AV124" s="448"/>
      <c r="AW124" s="813">
        <v>10</v>
      </c>
      <c r="AX124" s="449">
        <v>7</v>
      </c>
      <c r="AY124" s="431"/>
      <c r="AZ124" s="431">
        <v>0</v>
      </c>
      <c r="BA124" s="431" t="s">
        <v>889</v>
      </c>
      <c r="BB124" s="442" t="s">
        <v>289</v>
      </c>
      <c r="BC124" s="810">
        <f t="shared" si="129"/>
        <v>1</v>
      </c>
      <c r="BD124" s="348">
        <f t="shared" si="130"/>
        <v>127</v>
      </c>
      <c r="BE124" s="351">
        <f t="shared" si="131"/>
        <v>1</v>
      </c>
      <c r="BF124" s="348">
        <f t="shared" si="132"/>
        <v>127</v>
      </c>
      <c r="BG124" s="351">
        <f t="shared" si="133"/>
        <v>0</v>
      </c>
      <c r="BH124" s="348">
        <f t="shared" si="134"/>
        <v>0</v>
      </c>
      <c r="BI124" s="447">
        <v>2</v>
      </c>
      <c r="BJ124" s="463">
        <v>1</v>
      </c>
      <c r="BK124" s="352">
        <f t="shared" si="147"/>
        <v>127</v>
      </c>
      <c r="BL124" s="353">
        <f t="shared" si="148"/>
        <v>8.35</v>
      </c>
      <c r="BM124" s="431">
        <v>2</v>
      </c>
      <c r="BN124" s="431" t="s">
        <v>290</v>
      </c>
      <c r="BO124" s="351">
        <f t="shared" si="135"/>
        <v>1</v>
      </c>
      <c r="BP124" s="348">
        <f t="shared" si="136"/>
        <v>127</v>
      </c>
      <c r="BQ124" s="353">
        <f t="shared" si="137"/>
        <v>0</v>
      </c>
      <c r="BR124" s="458">
        <v>1</v>
      </c>
      <c r="BS124" s="348">
        <f t="shared" si="138"/>
        <v>127</v>
      </c>
      <c r="BT124" s="447">
        <v>0</v>
      </c>
      <c r="BU124" s="351">
        <f t="shared" si="139"/>
        <v>0</v>
      </c>
      <c r="BV124" s="353">
        <f t="shared" si="140"/>
        <v>1.88</v>
      </c>
      <c r="BW124" s="451">
        <v>0</v>
      </c>
      <c r="BX124" s="473" t="s">
        <v>916</v>
      </c>
      <c r="BY124" s="475">
        <v>41776</v>
      </c>
      <c r="BZ124" s="663" t="s">
        <v>821</v>
      </c>
      <c r="CA124" s="666">
        <v>0</v>
      </c>
      <c r="CB124" s="354" t="str">
        <f t="shared" si="141"/>
        <v>To be realised</v>
      </c>
      <c r="CC124" s="431">
        <v>80</v>
      </c>
      <c r="CD124" s="431">
        <v>9</v>
      </c>
      <c r="CE124" s="355">
        <f t="shared" si="142"/>
        <v>30</v>
      </c>
      <c r="CF124" s="356">
        <f t="shared" si="143"/>
        <v>0</v>
      </c>
      <c r="CG124" s="348">
        <f t="shared" si="144"/>
        <v>0</v>
      </c>
      <c r="CH124" s="370">
        <f t="shared" si="145"/>
        <v>12</v>
      </c>
      <c r="CI124" s="441"/>
      <c r="CJ124" s="453">
        <v>0</v>
      </c>
      <c r="CK124" s="372">
        <f t="shared" si="149"/>
        <v>0</v>
      </c>
      <c r="CL124" s="441">
        <v>2</v>
      </c>
      <c r="CM124" s="357" t="str">
        <f t="shared" si="146"/>
        <v>Excellent coverage</v>
      </c>
      <c r="CN124" s="447">
        <v>0</v>
      </c>
      <c r="CO124" s="753" t="s">
        <v>292</v>
      </c>
      <c r="CP124" s="482"/>
    </row>
    <row r="125" spans="2:94" s="36" customFormat="1" ht="30.75" customHeight="1" x14ac:dyDescent="0.2">
      <c r="B125" s="438" t="s">
        <v>131</v>
      </c>
      <c r="C125" s="430" t="s">
        <v>487</v>
      </c>
      <c r="D125" s="430" t="s">
        <v>257</v>
      </c>
      <c r="E125" s="430" t="s">
        <v>132</v>
      </c>
      <c r="F125" s="430">
        <v>97.385101000000006</v>
      </c>
      <c r="G125" s="430">
        <v>25.399795999999998</v>
      </c>
      <c r="H125" s="430" t="s">
        <v>442</v>
      </c>
      <c r="I125" s="430" t="s">
        <v>213</v>
      </c>
      <c r="J125" s="430" t="s">
        <v>812</v>
      </c>
      <c r="K125" s="430" t="s">
        <v>800</v>
      </c>
      <c r="L125" s="721">
        <v>6</v>
      </c>
      <c r="M125" s="721">
        <v>28</v>
      </c>
      <c r="N125" s="431">
        <v>27</v>
      </c>
      <c r="O125" s="660">
        <v>27</v>
      </c>
      <c r="P125" s="796" t="str">
        <f t="shared" si="113"/>
        <v>1. Small</v>
      </c>
      <c r="Q125" s="797" t="s">
        <v>330</v>
      </c>
      <c r="R125" s="432" t="s">
        <v>234</v>
      </c>
      <c r="S125" s="793" t="s">
        <v>299</v>
      </c>
      <c r="T125" s="365" t="str">
        <f t="shared" si="114"/>
        <v>Not covered</v>
      </c>
      <c r="U125" s="437" t="s">
        <v>619</v>
      </c>
      <c r="V125" s="783" t="s">
        <v>254</v>
      </c>
      <c r="W125" s="363" t="str">
        <f t="shared" si="115"/>
        <v>Not documented</v>
      </c>
      <c r="X125" s="441">
        <v>0</v>
      </c>
      <c r="Y125" s="431">
        <v>0</v>
      </c>
      <c r="Z125" s="660" t="s">
        <v>18</v>
      </c>
      <c r="AA125" s="442" t="s">
        <v>19</v>
      </c>
      <c r="AB125" s="441">
        <v>0</v>
      </c>
      <c r="AC125" s="447">
        <v>1</v>
      </c>
      <c r="AD125" s="831">
        <v>0</v>
      </c>
      <c r="AE125" s="454">
        <v>0</v>
      </c>
      <c r="AF125" s="463">
        <v>1</v>
      </c>
      <c r="AG125" s="455" t="s">
        <v>830</v>
      </c>
      <c r="AH125" s="368">
        <f t="shared" si="116"/>
        <v>1</v>
      </c>
      <c r="AI125" s="346">
        <f t="shared" si="117"/>
        <v>27</v>
      </c>
      <c r="AJ125" s="347">
        <f t="shared" si="118"/>
        <v>1</v>
      </c>
      <c r="AK125" s="348">
        <f t="shared" si="119"/>
        <v>27</v>
      </c>
      <c r="AL125" s="345">
        <f t="shared" si="120"/>
        <v>1</v>
      </c>
      <c r="AM125" s="348">
        <f t="shared" si="121"/>
        <v>27</v>
      </c>
      <c r="AN125" s="349" t="str">
        <f t="shared" si="122"/>
        <v>80-100%</v>
      </c>
      <c r="AO125" s="345">
        <f t="shared" si="123"/>
        <v>0</v>
      </c>
      <c r="AP125" s="350">
        <f t="shared" si="124"/>
        <v>0</v>
      </c>
      <c r="AQ125" s="348">
        <f t="shared" si="125"/>
        <v>0</v>
      </c>
      <c r="AR125" s="348">
        <f t="shared" si="126"/>
        <v>6</v>
      </c>
      <c r="AS125" s="348">
        <f t="shared" si="127"/>
        <v>0</v>
      </c>
      <c r="AT125" s="458">
        <v>1</v>
      </c>
      <c r="AU125" s="459">
        <f t="shared" si="128"/>
        <v>27</v>
      </c>
      <c r="AV125" s="448"/>
      <c r="AW125" s="813">
        <v>0</v>
      </c>
      <c r="AX125" s="449">
        <v>0</v>
      </c>
      <c r="AY125" s="431"/>
      <c r="AZ125" s="431">
        <v>1</v>
      </c>
      <c r="BA125" s="431"/>
      <c r="BB125" s="442" t="s">
        <v>289</v>
      </c>
      <c r="BC125" s="810">
        <f t="shared" si="129"/>
        <v>0.7407407407407407</v>
      </c>
      <c r="BD125" s="348">
        <f t="shared" si="130"/>
        <v>20</v>
      </c>
      <c r="BE125" s="351">
        <f t="shared" si="131"/>
        <v>0</v>
      </c>
      <c r="BF125" s="348">
        <f t="shared" si="132"/>
        <v>0</v>
      </c>
      <c r="BG125" s="351">
        <f t="shared" si="133"/>
        <v>0.7407407407407407</v>
      </c>
      <c r="BH125" s="348">
        <f t="shared" si="134"/>
        <v>20</v>
      </c>
      <c r="BI125" s="447">
        <v>0</v>
      </c>
      <c r="BJ125" s="463">
        <v>1</v>
      </c>
      <c r="BK125" s="352">
        <f t="shared" si="147"/>
        <v>27</v>
      </c>
      <c r="BL125" s="353">
        <f t="shared" si="148"/>
        <v>0.35000000000000009</v>
      </c>
      <c r="BM125" s="431">
        <v>1</v>
      </c>
      <c r="BN125" s="431" t="s">
        <v>89</v>
      </c>
      <c r="BO125" s="351">
        <f t="shared" si="135"/>
        <v>1</v>
      </c>
      <c r="BP125" s="348">
        <f t="shared" si="136"/>
        <v>27</v>
      </c>
      <c r="BQ125" s="353">
        <f t="shared" si="137"/>
        <v>0</v>
      </c>
      <c r="BR125" s="458">
        <v>1</v>
      </c>
      <c r="BS125" s="348">
        <f t="shared" si="138"/>
        <v>27</v>
      </c>
      <c r="BT125" s="447">
        <v>0</v>
      </c>
      <c r="BU125" s="351">
        <f t="shared" si="139"/>
        <v>0</v>
      </c>
      <c r="BV125" s="353">
        <f t="shared" si="140"/>
        <v>0.28000000000000003</v>
      </c>
      <c r="BW125" s="451">
        <v>0</v>
      </c>
      <c r="BX125" s="473" t="s">
        <v>836</v>
      </c>
      <c r="BY125" s="475">
        <v>42173</v>
      </c>
      <c r="BZ125" s="663" t="s">
        <v>821</v>
      </c>
      <c r="CA125" s="666"/>
      <c r="CB125" s="354">
        <f t="shared" si="141"/>
        <v>42538</v>
      </c>
      <c r="CC125" s="431">
        <v>6</v>
      </c>
      <c r="CD125" s="431">
        <v>0</v>
      </c>
      <c r="CE125" s="355">
        <f t="shared" si="142"/>
        <v>0</v>
      </c>
      <c r="CF125" s="356">
        <f t="shared" si="143"/>
        <v>1</v>
      </c>
      <c r="CG125" s="348">
        <f t="shared" si="144"/>
        <v>27</v>
      </c>
      <c r="CH125" s="370">
        <f t="shared" si="145"/>
        <v>8</v>
      </c>
      <c r="CI125" s="441" t="s">
        <v>864</v>
      </c>
      <c r="CJ125" s="453">
        <v>0</v>
      </c>
      <c r="CK125" s="372">
        <f t="shared" si="149"/>
        <v>0</v>
      </c>
      <c r="CL125" s="441">
        <v>2</v>
      </c>
      <c r="CM125" s="357" t="str">
        <f t="shared" si="146"/>
        <v>Excellent coverage</v>
      </c>
      <c r="CN125" s="447">
        <v>0</v>
      </c>
      <c r="CO125" s="753" t="s">
        <v>65</v>
      </c>
      <c r="CP125" s="482" t="s">
        <v>796</v>
      </c>
    </row>
    <row r="126" spans="2:94" s="36" customFormat="1" ht="30.75" customHeight="1" x14ac:dyDescent="0.2">
      <c r="B126" s="438" t="s">
        <v>131</v>
      </c>
      <c r="C126" s="430" t="s">
        <v>485</v>
      </c>
      <c r="D126" s="430" t="s">
        <v>257</v>
      </c>
      <c r="E126" s="430" t="s">
        <v>133</v>
      </c>
      <c r="F126" s="430">
        <v>97.383056999999994</v>
      </c>
      <c r="G126" s="430">
        <v>25.395994000000002</v>
      </c>
      <c r="H126" s="430" t="s">
        <v>442</v>
      </c>
      <c r="I126" s="430" t="s">
        <v>213</v>
      </c>
      <c r="J126" s="430" t="s">
        <v>812</v>
      </c>
      <c r="K126" s="430" t="s">
        <v>800</v>
      </c>
      <c r="L126" s="721">
        <v>6</v>
      </c>
      <c r="M126" s="721">
        <v>39</v>
      </c>
      <c r="N126" s="431">
        <v>35</v>
      </c>
      <c r="O126" s="660">
        <v>35</v>
      </c>
      <c r="P126" s="796" t="str">
        <f t="shared" si="113"/>
        <v>1. Small</v>
      </c>
      <c r="Q126" s="797" t="s">
        <v>330</v>
      </c>
      <c r="R126" s="432" t="s">
        <v>234</v>
      </c>
      <c r="S126" s="793" t="s">
        <v>299</v>
      </c>
      <c r="T126" s="365" t="str">
        <f t="shared" si="114"/>
        <v>Not covered</v>
      </c>
      <c r="U126" s="437" t="s">
        <v>619</v>
      </c>
      <c r="V126" s="783" t="s">
        <v>254</v>
      </c>
      <c r="W126" s="363" t="str">
        <f t="shared" si="115"/>
        <v>Not documented</v>
      </c>
      <c r="X126" s="441">
        <v>0</v>
      </c>
      <c r="Y126" s="431">
        <v>0</v>
      </c>
      <c r="Z126" s="660" t="s">
        <v>18</v>
      </c>
      <c r="AA126" s="442" t="s">
        <v>19</v>
      </c>
      <c r="AB126" s="441">
        <v>0</v>
      </c>
      <c r="AC126" s="447">
        <v>1</v>
      </c>
      <c r="AD126" s="831">
        <v>0</v>
      </c>
      <c r="AE126" s="454">
        <v>0</v>
      </c>
      <c r="AF126" s="463">
        <v>1</v>
      </c>
      <c r="AG126" s="455" t="s">
        <v>830</v>
      </c>
      <c r="AH126" s="368">
        <f t="shared" si="116"/>
        <v>1</v>
      </c>
      <c r="AI126" s="346">
        <f t="shared" si="117"/>
        <v>35</v>
      </c>
      <c r="AJ126" s="347">
        <f t="shared" si="118"/>
        <v>1</v>
      </c>
      <c r="AK126" s="348">
        <f t="shared" si="119"/>
        <v>35</v>
      </c>
      <c r="AL126" s="345">
        <f t="shared" si="120"/>
        <v>1</v>
      </c>
      <c r="AM126" s="348">
        <f t="shared" si="121"/>
        <v>35</v>
      </c>
      <c r="AN126" s="349" t="str">
        <f t="shared" si="122"/>
        <v>80-100%</v>
      </c>
      <c r="AO126" s="345">
        <f t="shared" si="123"/>
        <v>0</v>
      </c>
      <c r="AP126" s="350">
        <f t="shared" si="124"/>
        <v>0</v>
      </c>
      <c r="AQ126" s="348">
        <f t="shared" si="125"/>
        <v>0</v>
      </c>
      <c r="AR126" s="348">
        <f t="shared" si="126"/>
        <v>6</v>
      </c>
      <c r="AS126" s="348">
        <f t="shared" si="127"/>
        <v>0</v>
      </c>
      <c r="AT126" s="458">
        <v>1</v>
      </c>
      <c r="AU126" s="459">
        <f t="shared" si="128"/>
        <v>35</v>
      </c>
      <c r="AV126" s="448"/>
      <c r="AW126" s="813">
        <v>0</v>
      </c>
      <c r="AX126" s="449">
        <v>0</v>
      </c>
      <c r="AY126" s="431"/>
      <c r="AZ126" s="431">
        <v>3</v>
      </c>
      <c r="BA126" s="431"/>
      <c r="BB126" s="442" t="s">
        <v>289</v>
      </c>
      <c r="BC126" s="810">
        <f t="shared" si="129"/>
        <v>1</v>
      </c>
      <c r="BD126" s="348">
        <f t="shared" si="130"/>
        <v>35</v>
      </c>
      <c r="BE126" s="351">
        <f t="shared" si="131"/>
        <v>0</v>
      </c>
      <c r="BF126" s="348">
        <f t="shared" si="132"/>
        <v>0</v>
      </c>
      <c r="BG126" s="351">
        <f t="shared" si="133"/>
        <v>1</v>
      </c>
      <c r="BH126" s="348">
        <f t="shared" si="134"/>
        <v>35</v>
      </c>
      <c r="BI126" s="447">
        <v>0</v>
      </c>
      <c r="BJ126" s="463">
        <v>1</v>
      </c>
      <c r="BK126" s="352">
        <f t="shared" si="147"/>
        <v>35</v>
      </c>
      <c r="BL126" s="353">
        <f t="shared" si="148"/>
        <v>0</v>
      </c>
      <c r="BM126" s="431">
        <v>1</v>
      </c>
      <c r="BN126" s="431" t="s">
        <v>89</v>
      </c>
      <c r="BO126" s="351">
        <f t="shared" si="135"/>
        <v>1</v>
      </c>
      <c r="BP126" s="348">
        <f t="shared" si="136"/>
        <v>35</v>
      </c>
      <c r="BQ126" s="353">
        <f t="shared" si="137"/>
        <v>0</v>
      </c>
      <c r="BR126" s="458">
        <v>1</v>
      </c>
      <c r="BS126" s="348">
        <f t="shared" si="138"/>
        <v>35</v>
      </c>
      <c r="BT126" s="447">
        <v>0</v>
      </c>
      <c r="BU126" s="351">
        <f t="shared" si="139"/>
        <v>0</v>
      </c>
      <c r="BV126" s="353">
        <f t="shared" si="140"/>
        <v>0.39</v>
      </c>
      <c r="BW126" s="451">
        <v>0</v>
      </c>
      <c r="BX126" s="473" t="s">
        <v>844</v>
      </c>
      <c r="BY126" s="475">
        <v>42173</v>
      </c>
      <c r="BZ126" s="663" t="s">
        <v>821</v>
      </c>
      <c r="CA126" s="666"/>
      <c r="CB126" s="354">
        <f t="shared" si="141"/>
        <v>42538</v>
      </c>
      <c r="CC126" s="431">
        <v>6</v>
      </c>
      <c r="CD126" s="431">
        <v>0</v>
      </c>
      <c r="CE126" s="355">
        <f t="shared" si="142"/>
        <v>0</v>
      </c>
      <c r="CF126" s="356">
        <f t="shared" si="143"/>
        <v>1</v>
      </c>
      <c r="CG126" s="348">
        <f t="shared" si="144"/>
        <v>35</v>
      </c>
      <c r="CH126" s="370">
        <f t="shared" si="145"/>
        <v>8</v>
      </c>
      <c r="CI126" s="441"/>
      <c r="CJ126" s="453">
        <v>0</v>
      </c>
      <c r="CK126" s="372">
        <f t="shared" si="149"/>
        <v>0</v>
      </c>
      <c r="CL126" s="441">
        <v>2</v>
      </c>
      <c r="CM126" s="357" t="str">
        <f t="shared" si="146"/>
        <v>Excellent coverage</v>
      </c>
      <c r="CN126" s="447">
        <v>0</v>
      </c>
      <c r="CO126" s="753" t="s">
        <v>65</v>
      </c>
      <c r="CP126" s="482" t="s">
        <v>868</v>
      </c>
    </row>
    <row r="127" spans="2:94" s="36" customFormat="1" ht="30.75" customHeight="1" x14ac:dyDescent="0.2">
      <c r="B127" s="438" t="s">
        <v>131</v>
      </c>
      <c r="C127" s="430" t="s">
        <v>486</v>
      </c>
      <c r="D127" s="430" t="s">
        <v>257</v>
      </c>
      <c r="E127" s="430" t="s">
        <v>134</v>
      </c>
      <c r="F127" s="430">
        <v>97.381195000000005</v>
      </c>
      <c r="G127" s="430">
        <v>25.396363999999998</v>
      </c>
      <c r="H127" s="430" t="s">
        <v>442</v>
      </c>
      <c r="I127" s="430" t="s">
        <v>213</v>
      </c>
      <c r="J127" s="430" t="s">
        <v>812</v>
      </c>
      <c r="K127" s="430" t="s">
        <v>800</v>
      </c>
      <c r="L127" s="721">
        <v>8</v>
      </c>
      <c r="M127" s="721">
        <v>30</v>
      </c>
      <c r="N127" s="431">
        <v>26</v>
      </c>
      <c r="O127" s="660">
        <v>26</v>
      </c>
      <c r="P127" s="796" t="str">
        <f t="shared" si="113"/>
        <v>1. Small</v>
      </c>
      <c r="Q127" s="797" t="s">
        <v>330</v>
      </c>
      <c r="R127" s="432" t="s">
        <v>234</v>
      </c>
      <c r="S127" s="793" t="s">
        <v>299</v>
      </c>
      <c r="T127" s="365" t="str">
        <f t="shared" si="114"/>
        <v>Not covered</v>
      </c>
      <c r="U127" s="437" t="s">
        <v>619</v>
      </c>
      <c r="V127" s="783" t="s">
        <v>254</v>
      </c>
      <c r="W127" s="363" t="str">
        <f t="shared" si="115"/>
        <v>Not documented</v>
      </c>
      <c r="X127" s="441">
        <v>0</v>
      </c>
      <c r="Y127" s="431">
        <v>0</v>
      </c>
      <c r="Z127" s="660" t="s">
        <v>18</v>
      </c>
      <c r="AA127" s="442" t="s">
        <v>19</v>
      </c>
      <c r="AB127" s="441">
        <v>0</v>
      </c>
      <c r="AC127" s="447">
        <v>1</v>
      </c>
      <c r="AD127" s="831">
        <v>0</v>
      </c>
      <c r="AE127" s="454">
        <v>0</v>
      </c>
      <c r="AF127" s="463">
        <v>1</v>
      </c>
      <c r="AG127" s="455" t="s">
        <v>830</v>
      </c>
      <c r="AH127" s="368">
        <f t="shared" si="116"/>
        <v>1</v>
      </c>
      <c r="AI127" s="346">
        <f t="shared" si="117"/>
        <v>26</v>
      </c>
      <c r="AJ127" s="347">
        <f t="shared" si="118"/>
        <v>1</v>
      </c>
      <c r="AK127" s="348">
        <f t="shared" si="119"/>
        <v>26</v>
      </c>
      <c r="AL127" s="345">
        <f t="shared" si="120"/>
        <v>1</v>
      </c>
      <c r="AM127" s="348">
        <f t="shared" si="121"/>
        <v>26</v>
      </c>
      <c r="AN127" s="349" t="str">
        <f t="shared" si="122"/>
        <v>80-100%</v>
      </c>
      <c r="AO127" s="345">
        <f t="shared" si="123"/>
        <v>0</v>
      </c>
      <c r="AP127" s="350">
        <f t="shared" si="124"/>
        <v>0</v>
      </c>
      <c r="AQ127" s="348">
        <f t="shared" si="125"/>
        <v>0</v>
      </c>
      <c r="AR127" s="348">
        <f t="shared" si="126"/>
        <v>8</v>
      </c>
      <c r="AS127" s="348">
        <f t="shared" si="127"/>
        <v>0</v>
      </c>
      <c r="AT127" s="458">
        <v>1</v>
      </c>
      <c r="AU127" s="459">
        <f t="shared" si="128"/>
        <v>26</v>
      </c>
      <c r="AV127" s="448"/>
      <c r="AW127" s="813">
        <v>0</v>
      </c>
      <c r="AX127" s="449">
        <v>0</v>
      </c>
      <c r="AY127" s="431"/>
      <c r="AZ127" s="431">
        <v>1</v>
      </c>
      <c r="BA127" s="431"/>
      <c r="BB127" s="442" t="s">
        <v>289</v>
      </c>
      <c r="BC127" s="810">
        <f t="shared" si="129"/>
        <v>0.76923076923076927</v>
      </c>
      <c r="BD127" s="348">
        <f t="shared" si="130"/>
        <v>20</v>
      </c>
      <c r="BE127" s="351">
        <f t="shared" si="131"/>
        <v>0</v>
      </c>
      <c r="BF127" s="348">
        <f t="shared" si="132"/>
        <v>0</v>
      </c>
      <c r="BG127" s="351">
        <f t="shared" si="133"/>
        <v>0.76923076923076927</v>
      </c>
      <c r="BH127" s="348">
        <f t="shared" si="134"/>
        <v>20</v>
      </c>
      <c r="BI127" s="447">
        <v>0</v>
      </c>
      <c r="BJ127" s="463">
        <v>1</v>
      </c>
      <c r="BK127" s="352">
        <f t="shared" si="147"/>
        <v>26</v>
      </c>
      <c r="BL127" s="353">
        <f t="shared" si="148"/>
        <v>0.30000000000000004</v>
      </c>
      <c r="BM127" s="431">
        <v>1</v>
      </c>
      <c r="BN127" s="431" t="s">
        <v>89</v>
      </c>
      <c r="BO127" s="351">
        <f t="shared" si="135"/>
        <v>1</v>
      </c>
      <c r="BP127" s="348">
        <f t="shared" si="136"/>
        <v>26</v>
      </c>
      <c r="BQ127" s="353">
        <f t="shared" si="137"/>
        <v>0</v>
      </c>
      <c r="BR127" s="458">
        <v>1</v>
      </c>
      <c r="BS127" s="348">
        <f t="shared" si="138"/>
        <v>26</v>
      </c>
      <c r="BT127" s="447">
        <v>0</v>
      </c>
      <c r="BU127" s="351">
        <f t="shared" si="139"/>
        <v>0</v>
      </c>
      <c r="BV127" s="353">
        <f t="shared" si="140"/>
        <v>0.3</v>
      </c>
      <c r="BW127" s="451">
        <v>0</v>
      </c>
      <c r="BX127" s="473" t="s">
        <v>844</v>
      </c>
      <c r="BY127" s="475">
        <v>42173</v>
      </c>
      <c r="BZ127" s="663" t="s">
        <v>821</v>
      </c>
      <c r="CA127" s="666"/>
      <c r="CB127" s="354">
        <f t="shared" si="141"/>
        <v>42538</v>
      </c>
      <c r="CC127" s="431">
        <v>8</v>
      </c>
      <c r="CD127" s="431">
        <v>0</v>
      </c>
      <c r="CE127" s="355">
        <f t="shared" si="142"/>
        <v>0</v>
      </c>
      <c r="CF127" s="356">
        <f t="shared" si="143"/>
        <v>1</v>
      </c>
      <c r="CG127" s="348">
        <f t="shared" si="144"/>
        <v>26</v>
      </c>
      <c r="CH127" s="370">
        <f t="shared" si="145"/>
        <v>8</v>
      </c>
      <c r="CI127" s="441"/>
      <c r="CJ127" s="453">
        <v>0</v>
      </c>
      <c r="CK127" s="372">
        <f t="shared" si="149"/>
        <v>0</v>
      </c>
      <c r="CL127" s="441">
        <v>2</v>
      </c>
      <c r="CM127" s="357" t="str">
        <f t="shared" si="146"/>
        <v>Excellent coverage</v>
      </c>
      <c r="CN127" s="447">
        <v>0</v>
      </c>
      <c r="CO127" s="753" t="s">
        <v>65</v>
      </c>
      <c r="CP127" s="482"/>
    </row>
    <row r="128" spans="2:94" s="36" customFormat="1" ht="30.75" customHeight="1" x14ac:dyDescent="0.2">
      <c r="B128" s="438" t="s">
        <v>131</v>
      </c>
      <c r="C128" s="430" t="s">
        <v>492</v>
      </c>
      <c r="D128" s="430" t="s">
        <v>257</v>
      </c>
      <c r="E128" s="430" t="s">
        <v>135</v>
      </c>
      <c r="F128" s="430">
        <v>97.389778000000007</v>
      </c>
      <c r="G128" s="430">
        <v>25.417733999999999</v>
      </c>
      <c r="H128" s="430" t="s">
        <v>442</v>
      </c>
      <c r="I128" s="430" t="s">
        <v>213</v>
      </c>
      <c r="J128" s="430" t="s">
        <v>812</v>
      </c>
      <c r="K128" s="430" t="s">
        <v>800</v>
      </c>
      <c r="L128" s="721">
        <v>190</v>
      </c>
      <c r="M128" s="721">
        <v>1047</v>
      </c>
      <c r="N128" s="431">
        <v>927</v>
      </c>
      <c r="O128" s="660">
        <v>927</v>
      </c>
      <c r="P128" s="796" t="str">
        <f t="shared" si="113"/>
        <v>2. Medium</v>
      </c>
      <c r="Q128" s="797" t="s">
        <v>330</v>
      </c>
      <c r="R128" s="432" t="s">
        <v>234</v>
      </c>
      <c r="S128" s="793" t="s">
        <v>299</v>
      </c>
      <c r="T128" s="365" t="str">
        <f t="shared" si="114"/>
        <v>Not covered</v>
      </c>
      <c r="U128" s="437" t="s">
        <v>619</v>
      </c>
      <c r="V128" s="783" t="s">
        <v>254</v>
      </c>
      <c r="W128" s="363" t="str">
        <f t="shared" si="115"/>
        <v>Not documented</v>
      </c>
      <c r="X128" s="441">
        <v>0</v>
      </c>
      <c r="Y128" s="431">
        <v>0</v>
      </c>
      <c r="Z128" s="660" t="s">
        <v>18</v>
      </c>
      <c r="AA128" s="442" t="s">
        <v>19</v>
      </c>
      <c r="AB128" s="441">
        <v>1</v>
      </c>
      <c r="AC128" s="447">
        <v>9</v>
      </c>
      <c r="AD128" s="831">
        <v>3000</v>
      </c>
      <c r="AE128" s="454">
        <v>0</v>
      </c>
      <c r="AF128" s="463">
        <v>1</v>
      </c>
      <c r="AG128" s="455" t="s">
        <v>830</v>
      </c>
      <c r="AH128" s="368">
        <f t="shared" si="116"/>
        <v>1</v>
      </c>
      <c r="AI128" s="346">
        <f t="shared" si="117"/>
        <v>927</v>
      </c>
      <c r="AJ128" s="347">
        <f t="shared" si="118"/>
        <v>1</v>
      </c>
      <c r="AK128" s="348">
        <f t="shared" si="119"/>
        <v>927</v>
      </c>
      <c r="AL128" s="345">
        <f t="shared" si="120"/>
        <v>1</v>
      </c>
      <c r="AM128" s="348">
        <f t="shared" si="121"/>
        <v>927</v>
      </c>
      <c r="AN128" s="349" t="str">
        <f t="shared" si="122"/>
        <v>80-100%</v>
      </c>
      <c r="AO128" s="345">
        <f t="shared" si="123"/>
        <v>0</v>
      </c>
      <c r="AP128" s="350">
        <f t="shared" si="124"/>
        <v>0</v>
      </c>
      <c r="AQ128" s="348">
        <f t="shared" si="125"/>
        <v>0</v>
      </c>
      <c r="AR128" s="348">
        <f t="shared" si="126"/>
        <v>190</v>
      </c>
      <c r="AS128" s="348">
        <f t="shared" si="127"/>
        <v>0</v>
      </c>
      <c r="AT128" s="458">
        <v>1</v>
      </c>
      <c r="AU128" s="459">
        <f t="shared" si="128"/>
        <v>927</v>
      </c>
      <c r="AV128" s="448"/>
      <c r="AW128" s="813">
        <v>0</v>
      </c>
      <c r="AX128" s="449">
        <v>0</v>
      </c>
      <c r="AY128" s="431"/>
      <c r="AZ128" s="431">
        <v>51</v>
      </c>
      <c r="BA128" s="431" t="s">
        <v>889</v>
      </c>
      <c r="BB128" s="442" t="s">
        <v>290</v>
      </c>
      <c r="BC128" s="810">
        <f t="shared" si="129"/>
        <v>1</v>
      </c>
      <c r="BD128" s="348">
        <f t="shared" si="130"/>
        <v>927</v>
      </c>
      <c r="BE128" s="351">
        <f t="shared" si="131"/>
        <v>0</v>
      </c>
      <c r="BF128" s="348">
        <f t="shared" si="132"/>
        <v>0</v>
      </c>
      <c r="BG128" s="351">
        <f t="shared" si="133"/>
        <v>1</v>
      </c>
      <c r="BH128" s="348">
        <f t="shared" si="134"/>
        <v>927</v>
      </c>
      <c r="BI128" s="447">
        <v>0</v>
      </c>
      <c r="BJ128" s="463">
        <v>1</v>
      </c>
      <c r="BK128" s="352">
        <f t="shared" si="147"/>
        <v>927</v>
      </c>
      <c r="BL128" s="353">
        <f t="shared" si="148"/>
        <v>0</v>
      </c>
      <c r="BM128" s="431">
        <v>4</v>
      </c>
      <c r="BN128" s="431" t="s">
        <v>291</v>
      </c>
      <c r="BO128" s="351">
        <f t="shared" si="135"/>
        <v>0.43149946062567424</v>
      </c>
      <c r="BP128" s="348">
        <f t="shared" si="136"/>
        <v>400</v>
      </c>
      <c r="BQ128" s="353">
        <f t="shared" si="137"/>
        <v>6.4700000000000006</v>
      </c>
      <c r="BR128" s="458">
        <v>0.43</v>
      </c>
      <c r="BS128" s="348">
        <f t="shared" si="138"/>
        <v>398.61</v>
      </c>
      <c r="BT128" s="447">
        <v>0</v>
      </c>
      <c r="BU128" s="351">
        <f t="shared" si="139"/>
        <v>0</v>
      </c>
      <c r="BV128" s="353">
        <f t="shared" si="140"/>
        <v>10.47</v>
      </c>
      <c r="BW128" s="451">
        <v>0</v>
      </c>
      <c r="BX128" s="473" t="s">
        <v>844</v>
      </c>
      <c r="BY128" s="475">
        <v>42173</v>
      </c>
      <c r="BZ128" s="663" t="s">
        <v>821</v>
      </c>
      <c r="CA128" s="666"/>
      <c r="CB128" s="354">
        <f t="shared" si="141"/>
        <v>42538</v>
      </c>
      <c r="CC128" s="431">
        <v>189</v>
      </c>
      <c r="CD128" s="431">
        <v>0</v>
      </c>
      <c r="CE128" s="355">
        <f t="shared" si="142"/>
        <v>1</v>
      </c>
      <c r="CF128" s="356">
        <f t="shared" si="143"/>
        <v>0.99473684210526314</v>
      </c>
      <c r="CG128" s="348">
        <f t="shared" si="144"/>
        <v>922.12105263157889</v>
      </c>
      <c r="CH128" s="370">
        <f t="shared" si="145"/>
        <v>8</v>
      </c>
      <c r="CI128" s="441"/>
      <c r="CJ128" s="453">
        <v>0</v>
      </c>
      <c r="CK128" s="372">
        <f t="shared" si="149"/>
        <v>0</v>
      </c>
      <c r="CL128" s="441">
        <v>4</v>
      </c>
      <c r="CM128" s="357" t="str">
        <f t="shared" si="146"/>
        <v>Excellent coverage</v>
      </c>
      <c r="CN128" s="447">
        <v>0</v>
      </c>
      <c r="CO128" s="753" t="s">
        <v>292</v>
      </c>
      <c r="CP128" s="482"/>
    </row>
    <row r="129" spans="2:94" s="36" customFormat="1" ht="30.75" customHeight="1" x14ac:dyDescent="0.2">
      <c r="B129" s="438" t="s">
        <v>131</v>
      </c>
      <c r="C129" s="430" t="s">
        <v>493</v>
      </c>
      <c r="D129" s="430" t="s">
        <v>257</v>
      </c>
      <c r="E129" s="430" t="s">
        <v>136</v>
      </c>
      <c r="F129" s="430">
        <v>97.373361000000003</v>
      </c>
      <c r="G129" s="430">
        <v>25.403476999999999</v>
      </c>
      <c r="H129" s="430" t="s">
        <v>442</v>
      </c>
      <c r="I129" s="430" t="s">
        <v>213</v>
      </c>
      <c r="J129" s="430" t="s">
        <v>812</v>
      </c>
      <c r="K129" s="430" t="s">
        <v>800</v>
      </c>
      <c r="L129" s="721">
        <v>107</v>
      </c>
      <c r="M129" s="721">
        <v>503</v>
      </c>
      <c r="N129" s="431">
        <v>468</v>
      </c>
      <c r="O129" s="660">
        <v>468</v>
      </c>
      <c r="P129" s="796" t="str">
        <f t="shared" si="113"/>
        <v>2. Medium</v>
      </c>
      <c r="Q129" s="797" t="s">
        <v>828</v>
      </c>
      <c r="R129" s="432" t="s">
        <v>230</v>
      </c>
      <c r="S129" s="793" t="s">
        <v>299</v>
      </c>
      <c r="T129" s="365" t="str">
        <f t="shared" si="114"/>
        <v>Not covered</v>
      </c>
      <c r="U129" s="437" t="s">
        <v>619</v>
      </c>
      <c r="V129" s="783" t="s">
        <v>254</v>
      </c>
      <c r="W129" s="363" t="str">
        <f t="shared" si="115"/>
        <v>Not documented</v>
      </c>
      <c r="X129" s="441">
        <v>0</v>
      </c>
      <c r="Y129" s="431">
        <v>0</v>
      </c>
      <c r="Z129" s="660" t="s">
        <v>19</v>
      </c>
      <c r="AA129" s="442" t="s">
        <v>19</v>
      </c>
      <c r="AB129" s="441">
        <v>1</v>
      </c>
      <c r="AC129" s="447">
        <v>3</v>
      </c>
      <c r="AD129" s="831">
        <v>3000</v>
      </c>
      <c r="AE129" s="454">
        <v>0</v>
      </c>
      <c r="AF129" s="463">
        <v>1</v>
      </c>
      <c r="AG129" s="455"/>
      <c r="AH129" s="368">
        <f t="shared" si="116"/>
        <v>1</v>
      </c>
      <c r="AI129" s="346">
        <f t="shared" si="117"/>
        <v>468</v>
      </c>
      <c r="AJ129" s="347">
        <f t="shared" si="118"/>
        <v>1</v>
      </c>
      <c r="AK129" s="348">
        <f t="shared" si="119"/>
        <v>468</v>
      </c>
      <c r="AL129" s="345">
        <f t="shared" si="120"/>
        <v>1</v>
      </c>
      <c r="AM129" s="348">
        <f t="shared" si="121"/>
        <v>468</v>
      </c>
      <c r="AN129" s="349" t="str">
        <f t="shared" si="122"/>
        <v>80-100%</v>
      </c>
      <c r="AO129" s="345">
        <f t="shared" si="123"/>
        <v>0</v>
      </c>
      <c r="AP129" s="350">
        <f t="shared" si="124"/>
        <v>0</v>
      </c>
      <c r="AQ129" s="348">
        <f t="shared" si="125"/>
        <v>0</v>
      </c>
      <c r="AR129" s="348">
        <f t="shared" si="126"/>
        <v>107</v>
      </c>
      <c r="AS129" s="348">
        <f t="shared" si="127"/>
        <v>0</v>
      </c>
      <c r="AT129" s="458">
        <v>1</v>
      </c>
      <c r="AU129" s="459">
        <f t="shared" si="128"/>
        <v>468</v>
      </c>
      <c r="AV129" s="448"/>
      <c r="AW129" s="813">
        <v>0</v>
      </c>
      <c r="AX129" s="449">
        <v>0</v>
      </c>
      <c r="AY129" s="431"/>
      <c r="AZ129" s="431">
        <v>20</v>
      </c>
      <c r="BA129" s="431" t="s">
        <v>888</v>
      </c>
      <c r="BB129" s="442" t="s">
        <v>289</v>
      </c>
      <c r="BC129" s="810">
        <f t="shared" si="129"/>
        <v>0.85470085470085466</v>
      </c>
      <c r="BD129" s="348">
        <f t="shared" si="130"/>
        <v>400</v>
      </c>
      <c r="BE129" s="351">
        <f t="shared" si="131"/>
        <v>0</v>
      </c>
      <c r="BF129" s="348">
        <f t="shared" si="132"/>
        <v>0</v>
      </c>
      <c r="BG129" s="351">
        <f t="shared" si="133"/>
        <v>0.85470085470085466</v>
      </c>
      <c r="BH129" s="348">
        <f t="shared" si="134"/>
        <v>400</v>
      </c>
      <c r="BI129" s="447">
        <v>0</v>
      </c>
      <c r="BJ129" s="463">
        <v>0.86</v>
      </c>
      <c r="BK129" s="352">
        <f t="shared" si="147"/>
        <v>402.48</v>
      </c>
      <c r="BL129" s="353">
        <f t="shared" si="148"/>
        <v>3.3999999999999986</v>
      </c>
      <c r="BM129" s="431">
        <v>1</v>
      </c>
      <c r="BN129" s="431" t="s">
        <v>89</v>
      </c>
      <c r="BO129" s="351">
        <f t="shared" si="135"/>
        <v>0.21367521367521367</v>
      </c>
      <c r="BP129" s="348">
        <f t="shared" si="136"/>
        <v>100</v>
      </c>
      <c r="BQ129" s="353">
        <f t="shared" si="137"/>
        <v>4.03</v>
      </c>
      <c r="BR129" s="458">
        <v>0.21</v>
      </c>
      <c r="BS129" s="348">
        <f t="shared" si="138"/>
        <v>98.28</v>
      </c>
      <c r="BT129" s="447">
        <v>4</v>
      </c>
      <c r="BU129" s="351">
        <f t="shared" si="139"/>
        <v>0.85470085470085466</v>
      </c>
      <c r="BV129" s="353">
        <f t="shared" si="140"/>
        <v>1.0300000000000002</v>
      </c>
      <c r="BW129" s="451">
        <v>0.85</v>
      </c>
      <c r="BX129" s="473"/>
      <c r="BY129" s="475">
        <v>41781</v>
      </c>
      <c r="BZ129" s="663" t="s">
        <v>821</v>
      </c>
      <c r="CA129" s="666">
        <v>0</v>
      </c>
      <c r="CB129" s="354" t="str">
        <f t="shared" si="141"/>
        <v>To be realised</v>
      </c>
      <c r="CC129" s="431">
        <v>106</v>
      </c>
      <c r="CD129" s="431">
        <v>2</v>
      </c>
      <c r="CE129" s="355">
        <f t="shared" si="142"/>
        <v>107</v>
      </c>
      <c r="CF129" s="356">
        <f t="shared" si="143"/>
        <v>0</v>
      </c>
      <c r="CG129" s="348">
        <f t="shared" si="144"/>
        <v>0</v>
      </c>
      <c r="CH129" s="370">
        <f t="shared" si="145"/>
        <v>19</v>
      </c>
      <c r="CI129" s="441"/>
      <c r="CJ129" s="453">
        <v>0</v>
      </c>
      <c r="CK129" s="372">
        <f t="shared" si="149"/>
        <v>0</v>
      </c>
      <c r="CL129" s="441">
        <v>2</v>
      </c>
      <c r="CM129" s="357" t="str">
        <f t="shared" si="146"/>
        <v>Excellent coverage</v>
      </c>
      <c r="CN129" s="447">
        <v>0</v>
      </c>
      <c r="CO129" s="753" t="s">
        <v>65</v>
      </c>
      <c r="CP129" s="482"/>
    </row>
    <row r="130" spans="2:94" s="36" customFormat="1" ht="30.75" customHeight="1" x14ac:dyDescent="0.2">
      <c r="B130" s="438" t="s">
        <v>131</v>
      </c>
      <c r="C130" s="430" t="s">
        <v>488</v>
      </c>
      <c r="D130" s="430" t="s">
        <v>257</v>
      </c>
      <c r="E130" s="430" t="s">
        <v>137</v>
      </c>
      <c r="F130" s="430">
        <v>97.405120999999994</v>
      </c>
      <c r="G130" s="430">
        <v>25.365891000000001</v>
      </c>
      <c r="H130" s="430" t="s">
        <v>442</v>
      </c>
      <c r="I130" s="430" t="s">
        <v>213</v>
      </c>
      <c r="J130" s="430" t="s">
        <v>812</v>
      </c>
      <c r="K130" s="430" t="s">
        <v>800</v>
      </c>
      <c r="L130" s="721">
        <v>44</v>
      </c>
      <c r="M130" s="721">
        <v>180</v>
      </c>
      <c r="N130" s="431">
        <v>193</v>
      </c>
      <c r="O130" s="660">
        <v>193</v>
      </c>
      <c r="P130" s="796" t="str">
        <f t="shared" si="113"/>
        <v>1. Small</v>
      </c>
      <c r="Q130" s="797" t="s">
        <v>330</v>
      </c>
      <c r="R130" s="432" t="s">
        <v>234</v>
      </c>
      <c r="S130" s="793" t="s">
        <v>299</v>
      </c>
      <c r="T130" s="365" t="str">
        <f t="shared" si="114"/>
        <v>Not covered</v>
      </c>
      <c r="U130" s="437" t="s">
        <v>619</v>
      </c>
      <c r="V130" s="783" t="s">
        <v>254</v>
      </c>
      <c r="W130" s="363" t="str">
        <f t="shared" si="115"/>
        <v>Not documented</v>
      </c>
      <c r="X130" s="441">
        <v>0</v>
      </c>
      <c r="Y130" s="431">
        <v>0</v>
      </c>
      <c r="Z130" s="660" t="s">
        <v>19</v>
      </c>
      <c r="AA130" s="442" t="s">
        <v>19</v>
      </c>
      <c r="AB130" s="441">
        <v>1</v>
      </c>
      <c r="AC130" s="447">
        <v>1</v>
      </c>
      <c r="AD130" s="831">
        <v>0</v>
      </c>
      <c r="AE130" s="454">
        <v>0</v>
      </c>
      <c r="AF130" s="463">
        <v>1</v>
      </c>
      <c r="AG130" s="455" t="s">
        <v>830</v>
      </c>
      <c r="AH130" s="368">
        <f t="shared" si="116"/>
        <v>1</v>
      </c>
      <c r="AI130" s="346">
        <f t="shared" si="117"/>
        <v>193</v>
      </c>
      <c r="AJ130" s="347">
        <f t="shared" si="118"/>
        <v>1</v>
      </c>
      <c r="AK130" s="348">
        <f t="shared" si="119"/>
        <v>193</v>
      </c>
      <c r="AL130" s="345">
        <f t="shared" si="120"/>
        <v>1</v>
      </c>
      <c r="AM130" s="348">
        <f t="shared" si="121"/>
        <v>193</v>
      </c>
      <c r="AN130" s="349" t="str">
        <f t="shared" si="122"/>
        <v>80-100%</v>
      </c>
      <c r="AO130" s="345">
        <f t="shared" si="123"/>
        <v>0</v>
      </c>
      <c r="AP130" s="350">
        <f t="shared" si="124"/>
        <v>0</v>
      </c>
      <c r="AQ130" s="348">
        <f t="shared" si="125"/>
        <v>0</v>
      </c>
      <c r="AR130" s="348">
        <f t="shared" si="126"/>
        <v>44</v>
      </c>
      <c r="AS130" s="348">
        <f t="shared" si="127"/>
        <v>0</v>
      </c>
      <c r="AT130" s="458">
        <v>1</v>
      </c>
      <c r="AU130" s="459">
        <f t="shared" si="128"/>
        <v>193</v>
      </c>
      <c r="AV130" s="448"/>
      <c r="AW130" s="813">
        <v>16</v>
      </c>
      <c r="AX130" s="449">
        <v>0</v>
      </c>
      <c r="AY130" s="431"/>
      <c r="AZ130" s="431">
        <v>8</v>
      </c>
      <c r="BA130" s="431" t="s">
        <v>888</v>
      </c>
      <c r="BB130" s="442" t="s">
        <v>289</v>
      </c>
      <c r="BC130" s="810">
        <f t="shared" si="129"/>
        <v>0.82901554404145072</v>
      </c>
      <c r="BD130" s="348">
        <f t="shared" si="130"/>
        <v>160</v>
      </c>
      <c r="BE130" s="351">
        <f t="shared" si="131"/>
        <v>0</v>
      </c>
      <c r="BF130" s="348">
        <f t="shared" si="132"/>
        <v>0</v>
      </c>
      <c r="BG130" s="351">
        <f t="shared" si="133"/>
        <v>0.82901554404145072</v>
      </c>
      <c r="BH130" s="348">
        <f t="shared" si="134"/>
        <v>160</v>
      </c>
      <c r="BI130" s="447">
        <v>0</v>
      </c>
      <c r="BJ130" s="463">
        <v>1</v>
      </c>
      <c r="BK130" s="352">
        <f t="shared" si="147"/>
        <v>193</v>
      </c>
      <c r="BL130" s="353">
        <f t="shared" si="148"/>
        <v>1.6500000000000004</v>
      </c>
      <c r="BM130" s="431">
        <v>2</v>
      </c>
      <c r="BN130" s="431" t="s">
        <v>89</v>
      </c>
      <c r="BO130" s="351">
        <f t="shared" si="135"/>
        <v>1</v>
      </c>
      <c r="BP130" s="348">
        <f t="shared" si="136"/>
        <v>193</v>
      </c>
      <c r="BQ130" s="353">
        <f t="shared" si="137"/>
        <v>0</v>
      </c>
      <c r="BR130" s="458">
        <v>1</v>
      </c>
      <c r="BS130" s="348">
        <f t="shared" si="138"/>
        <v>193</v>
      </c>
      <c r="BT130" s="447">
        <v>0</v>
      </c>
      <c r="BU130" s="351">
        <f t="shared" si="139"/>
        <v>0</v>
      </c>
      <c r="BV130" s="353">
        <f t="shared" si="140"/>
        <v>1.8</v>
      </c>
      <c r="BW130" s="451">
        <v>0</v>
      </c>
      <c r="BX130" s="473" t="s">
        <v>846</v>
      </c>
      <c r="BY130" s="475">
        <v>42173</v>
      </c>
      <c r="BZ130" s="663" t="s">
        <v>821</v>
      </c>
      <c r="CA130" s="666"/>
      <c r="CB130" s="354">
        <f t="shared" si="141"/>
        <v>42538</v>
      </c>
      <c r="CC130" s="431">
        <v>44</v>
      </c>
      <c r="CD130" s="431">
        <v>0</v>
      </c>
      <c r="CE130" s="355">
        <f t="shared" si="142"/>
        <v>0</v>
      </c>
      <c r="CF130" s="356">
        <f t="shared" si="143"/>
        <v>1</v>
      </c>
      <c r="CG130" s="348">
        <f t="shared" si="144"/>
        <v>193</v>
      </c>
      <c r="CH130" s="370">
        <f t="shared" si="145"/>
        <v>8</v>
      </c>
      <c r="CI130" s="441"/>
      <c r="CJ130" s="453">
        <v>0</v>
      </c>
      <c r="CK130" s="372">
        <f t="shared" si="149"/>
        <v>0</v>
      </c>
      <c r="CL130" s="441">
        <v>4</v>
      </c>
      <c r="CM130" s="357" t="str">
        <f t="shared" si="146"/>
        <v>Excellent coverage</v>
      </c>
      <c r="CN130" s="447">
        <v>0</v>
      </c>
      <c r="CO130" s="753" t="s">
        <v>292</v>
      </c>
      <c r="CP130" s="482"/>
    </row>
    <row r="131" spans="2:94" s="36" customFormat="1" ht="30.75" customHeight="1" x14ac:dyDescent="0.2">
      <c r="B131" s="438" t="s">
        <v>131</v>
      </c>
      <c r="C131" s="430" t="s">
        <v>490</v>
      </c>
      <c r="D131" s="430" t="s">
        <v>257</v>
      </c>
      <c r="E131" s="430" t="s">
        <v>138</v>
      </c>
      <c r="F131" s="430">
        <v>97.409317000000001</v>
      </c>
      <c r="G131" s="430">
        <v>25.362189999999998</v>
      </c>
      <c r="H131" s="430" t="s">
        <v>442</v>
      </c>
      <c r="I131" s="430" t="s">
        <v>213</v>
      </c>
      <c r="J131" s="430" t="s">
        <v>812</v>
      </c>
      <c r="K131" s="430" t="s">
        <v>800</v>
      </c>
      <c r="L131" s="721">
        <v>107</v>
      </c>
      <c r="M131" s="721">
        <v>584</v>
      </c>
      <c r="N131" s="431">
        <v>328</v>
      </c>
      <c r="O131" s="660">
        <v>328</v>
      </c>
      <c r="P131" s="796" t="str">
        <f t="shared" si="113"/>
        <v>2. Medium</v>
      </c>
      <c r="Q131" s="797" t="s">
        <v>330</v>
      </c>
      <c r="R131" s="432" t="s">
        <v>234</v>
      </c>
      <c r="S131" s="793" t="s">
        <v>299</v>
      </c>
      <c r="T131" s="365" t="str">
        <f t="shared" si="114"/>
        <v>Not covered</v>
      </c>
      <c r="U131" s="437" t="s">
        <v>619</v>
      </c>
      <c r="V131" s="783" t="s">
        <v>254</v>
      </c>
      <c r="W131" s="363" t="str">
        <f t="shared" si="115"/>
        <v>Not documented</v>
      </c>
      <c r="X131" s="441">
        <v>0</v>
      </c>
      <c r="Y131" s="431">
        <v>0</v>
      </c>
      <c r="Z131" s="660" t="s">
        <v>19</v>
      </c>
      <c r="AA131" s="442" t="s">
        <v>19</v>
      </c>
      <c r="AB131" s="441">
        <v>1</v>
      </c>
      <c r="AC131" s="447">
        <v>0</v>
      </c>
      <c r="AD131" s="831">
        <v>0</v>
      </c>
      <c r="AE131" s="454">
        <v>0</v>
      </c>
      <c r="AF131" s="463">
        <v>1</v>
      </c>
      <c r="AG131" s="455" t="s">
        <v>830</v>
      </c>
      <c r="AH131" s="368">
        <f t="shared" si="116"/>
        <v>1</v>
      </c>
      <c r="AI131" s="346">
        <f t="shared" si="117"/>
        <v>328</v>
      </c>
      <c r="AJ131" s="347">
        <f t="shared" si="118"/>
        <v>1</v>
      </c>
      <c r="AK131" s="348">
        <f t="shared" si="119"/>
        <v>328</v>
      </c>
      <c r="AL131" s="345">
        <f t="shared" si="120"/>
        <v>1</v>
      </c>
      <c r="AM131" s="348">
        <f t="shared" si="121"/>
        <v>328</v>
      </c>
      <c r="AN131" s="349" t="str">
        <f t="shared" si="122"/>
        <v>80-100%</v>
      </c>
      <c r="AO131" s="345">
        <f t="shared" si="123"/>
        <v>0</v>
      </c>
      <c r="AP131" s="350">
        <f t="shared" si="124"/>
        <v>0</v>
      </c>
      <c r="AQ131" s="348">
        <f t="shared" si="125"/>
        <v>0</v>
      </c>
      <c r="AR131" s="348">
        <f t="shared" si="126"/>
        <v>107</v>
      </c>
      <c r="AS131" s="348">
        <f t="shared" si="127"/>
        <v>0</v>
      </c>
      <c r="AT131" s="458">
        <v>1</v>
      </c>
      <c r="AU131" s="459">
        <f t="shared" si="128"/>
        <v>328</v>
      </c>
      <c r="AV131" s="448"/>
      <c r="AW131" s="813">
        <v>0</v>
      </c>
      <c r="AX131" s="449">
        <v>0</v>
      </c>
      <c r="AY131" s="431"/>
      <c r="AZ131" s="431">
        <v>10</v>
      </c>
      <c r="BA131" s="431"/>
      <c r="BB131" s="442" t="s">
        <v>289</v>
      </c>
      <c r="BC131" s="810">
        <f t="shared" si="129"/>
        <v>0.6097560975609756</v>
      </c>
      <c r="BD131" s="348">
        <f t="shared" si="130"/>
        <v>200</v>
      </c>
      <c r="BE131" s="351">
        <f t="shared" si="131"/>
        <v>0</v>
      </c>
      <c r="BF131" s="348">
        <f t="shared" si="132"/>
        <v>0</v>
      </c>
      <c r="BG131" s="351">
        <f t="shared" si="133"/>
        <v>0.6097560975609756</v>
      </c>
      <c r="BH131" s="348">
        <f t="shared" si="134"/>
        <v>200</v>
      </c>
      <c r="BI131" s="447">
        <v>0</v>
      </c>
      <c r="BJ131" s="463">
        <v>0.61</v>
      </c>
      <c r="BK131" s="352">
        <f t="shared" si="147"/>
        <v>200.07999999999998</v>
      </c>
      <c r="BL131" s="353">
        <f t="shared" si="148"/>
        <v>6.3999999999999986</v>
      </c>
      <c r="BM131" s="431">
        <v>1</v>
      </c>
      <c r="BN131" s="431" t="s">
        <v>89</v>
      </c>
      <c r="BO131" s="351">
        <f t="shared" si="135"/>
        <v>0.3048780487804878</v>
      </c>
      <c r="BP131" s="348">
        <f t="shared" si="136"/>
        <v>100</v>
      </c>
      <c r="BQ131" s="353">
        <f t="shared" si="137"/>
        <v>4.84</v>
      </c>
      <c r="BR131" s="458">
        <v>0.3</v>
      </c>
      <c r="BS131" s="348">
        <f t="shared" si="138"/>
        <v>98.399999999999991</v>
      </c>
      <c r="BT131" s="447">
        <v>0</v>
      </c>
      <c r="BU131" s="351">
        <f t="shared" si="139"/>
        <v>0</v>
      </c>
      <c r="BV131" s="353">
        <f t="shared" si="140"/>
        <v>5.84</v>
      </c>
      <c r="BW131" s="451">
        <v>0</v>
      </c>
      <c r="BX131" s="473" t="s">
        <v>845</v>
      </c>
      <c r="BY131" s="475">
        <v>42173</v>
      </c>
      <c r="BZ131" s="663" t="s">
        <v>821</v>
      </c>
      <c r="CA131" s="666"/>
      <c r="CB131" s="354">
        <f t="shared" si="141"/>
        <v>42538</v>
      </c>
      <c r="CC131" s="431">
        <v>105</v>
      </c>
      <c r="CD131" s="431">
        <v>0</v>
      </c>
      <c r="CE131" s="355">
        <f t="shared" si="142"/>
        <v>2</v>
      </c>
      <c r="CF131" s="356">
        <f t="shared" si="143"/>
        <v>0.98130841121495327</v>
      </c>
      <c r="CG131" s="348">
        <f t="shared" si="144"/>
        <v>321.86915887850466</v>
      </c>
      <c r="CH131" s="370">
        <f t="shared" si="145"/>
        <v>8</v>
      </c>
      <c r="CI131" s="441"/>
      <c r="CJ131" s="453">
        <v>0</v>
      </c>
      <c r="CK131" s="372">
        <f t="shared" si="149"/>
        <v>0</v>
      </c>
      <c r="CL131" s="441">
        <v>2</v>
      </c>
      <c r="CM131" s="357" t="str">
        <f t="shared" si="146"/>
        <v>Excellent coverage</v>
      </c>
      <c r="CN131" s="447">
        <v>0</v>
      </c>
      <c r="CO131" s="753" t="s">
        <v>65</v>
      </c>
      <c r="CP131" s="482"/>
    </row>
    <row r="132" spans="2:94" s="36" customFormat="1" ht="30.75" customHeight="1" x14ac:dyDescent="0.2">
      <c r="B132" s="438" t="s">
        <v>131</v>
      </c>
      <c r="C132" s="430" t="s">
        <v>489</v>
      </c>
      <c r="D132" s="430" t="s">
        <v>257</v>
      </c>
      <c r="E132" s="430" t="s">
        <v>139</v>
      </c>
      <c r="F132" s="430">
        <v>97.408919999999995</v>
      </c>
      <c r="G132" s="430">
        <v>25.355983999999999</v>
      </c>
      <c r="H132" s="430" t="s">
        <v>442</v>
      </c>
      <c r="I132" s="430" t="s">
        <v>213</v>
      </c>
      <c r="J132" s="430" t="s">
        <v>812</v>
      </c>
      <c r="K132" s="430" t="s">
        <v>800</v>
      </c>
      <c r="L132" s="721">
        <v>163</v>
      </c>
      <c r="M132" s="721">
        <v>762</v>
      </c>
      <c r="N132" s="431">
        <v>462</v>
      </c>
      <c r="O132" s="660">
        <v>462</v>
      </c>
      <c r="P132" s="796" t="str">
        <f t="shared" si="113"/>
        <v>2. Medium</v>
      </c>
      <c r="Q132" s="797" t="s">
        <v>330</v>
      </c>
      <c r="R132" s="432" t="s">
        <v>234</v>
      </c>
      <c r="S132" s="793" t="s">
        <v>299</v>
      </c>
      <c r="T132" s="365" t="str">
        <f t="shared" si="114"/>
        <v>Not covered</v>
      </c>
      <c r="U132" s="437" t="s">
        <v>619</v>
      </c>
      <c r="V132" s="783" t="s">
        <v>254</v>
      </c>
      <c r="W132" s="363" t="str">
        <f t="shared" si="115"/>
        <v>Not documented</v>
      </c>
      <c r="X132" s="441">
        <v>0</v>
      </c>
      <c r="Y132" s="431">
        <v>0</v>
      </c>
      <c r="Z132" s="660" t="s">
        <v>19</v>
      </c>
      <c r="AA132" s="442" t="s">
        <v>19</v>
      </c>
      <c r="AB132" s="441">
        <v>0</v>
      </c>
      <c r="AC132" s="447">
        <v>3</v>
      </c>
      <c r="AD132" s="831">
        <v>5600</v>
      </c>
      <c r="AE132" s="454">
        <v>0</v>
      </c>
      <c r="AF132" s="463">
        <v>1</v>
      </c>
      <c r="AG132" s="455" t="s">
        <v>830</v>
      </c>
      <c r="AH132" s="368">
        <f t="shared" si="116"/>
        <v>1</v>
      </c>
      <c r="AI132" s="346">
        <f t="shared" si="117"/>
        <v>462</v>
      </c>
      <c r="AJ132" s="347">
        <f t="shared" si="118"/>
        <v>1</v>
      </c>
      <c r="AK132" s="348">
        <f t="shared" si="119"/>
        <v>462</v>
      </c>
      <c r="AL132" s="345">
        <f t="shared" si="120"/>
        <v>1</v>
      </c>
      <c r="AM132" s="348">
        <f t="shared" si="121"/>
        <v>462</v>
      </c>
      <c r="AN132" s="349" t="str">
        <f t="shared" si="122"/>
        <v>80-100%</v>
      </c>
      <c r="AO132" s="345">
        <f t="shared" si="123"/>
        <v>0</v>
      </c>
      <c r="AP132" s="350">
        <f t="shared" si="124"/>
        <v>0</v>
      </c>
      <c r="AQ132" s="348">
        <f t="shared" si="125"/>
        <v>0</v>
      </c>
      <c r="AR132" s="348">
        <f t="shared" si="126"/>
        <v>163</v>
      </c>
      <c r="AS132" s="348">
        <f t="shared" si="127"/>
        <v>0</v>
      </c>
      <c r="AT132" s="458">
        <v>1</v>
      </c>
      <c r="AU132" s="459">
        <f t="shared" si="128"/>
        <v>462</v>
      </c>
      <c r="AV132" s="448"/>
      <c r="AW132" s="813">
        <v>0</v>
      </c>
      <c r="AX132" s="449">
        <v>0</v>
      </c>
      <c r="AY132" s="431"/>
      <c r="AZ132" s="431">
        <v>34</v>
      </c>
      <c r="BA132" s="431" t="s">
        <v>889</v>
      </c>
      <c r="BB132" s="442" t="s">
        <v>289</v>
      </c>
      <c r="BC132" s="810">
        <f t="shared" si="129"/>
        <v>1</v>
      </c>
      <c r="BD132" s="348">
        <f t="shared" si="130"/>
        <v>462</v>
      </c>
      <c r="BE132" s="351">
        <f t="shared" si="131"/>
        <v>0</v>
      </c>
      <c r="BF132" s="348">
        <f t="shared" si="132"/>
        <v>0</v>
      </c>
      <c r="BG132" s="351">
        <f t="shared" si="133"/>
        <v>1</v>
      </c>
      <c r="BH132" s="348">
        <f t="shared" si="134"/>
        <v>462</v>
      </c>
      <c r="BI132" s="447">
        <v>0</v>
      </c>
      <c r="BJ132" s="463">
        <v>1</v>
      </c>
      <c r="BK132" s="352">
        <f t="shared" si="147"/>
        <v>462</v>
      </c>
      <c r="BL132" s="353">
        <f t="shared" si="148"/>
        <v>0</v>
      </c>
      <c r="BM132" s="431">
        <v>3</v>
      </c>
      <c r="BN132" s="431" t="s">
        <v>290</v>
      </c>
      <c r="BO132" s="351">
        <f t="shared" si="135"/>
        <v>0.64935064935064934</v>
      </c>
      <c r="BP132" s="348">
        <f t="shared" si="136"/>
        <v>300</v>
      </c>
      <c r="BQ132" s="353">
        <f t="shared" si="137"/>
        <v>4.62</v>
      </c>
      <c r="BR132" s="458">
        <v>0.65</v>
      </c>
      <c r="BS132" s="348">
        <f t="shared" si="138"/>
        <v>300.3</v>
      </c>
      <c r="BT132" s="447">
        <v>0</v>
      </c>
      <c r="BU132" s="351">
        <f t="shared" si="139"/>
        <v>0</v>
      </c>
      <c r="BV132" s="353">
        <f t="shared" si="140"/>
        <v>7.62</v>
      </c>
      <c r="BW132" s="451">
        <v>0</v>
      </c>
      <c r="BX132" s="473" t="s">
        <v>847</v>
      </c>
      <c r="BY132" s="475">
        <v>42173</v>
      </c>
      <c r="BZ132" s="663" t="s">
        <v>821</v>
      </c>
      <c r="CA132" s="666"/>
      <c r="CB132" s="354">
        <f t="shared" si="141"/>
        <v>42538</v>
      </c>
      <c r="CC132" s="431">
        <v>143</v>
      </c>
      <c r="CD132" s="431">
        <v>0</v>
      </c>
      <c r="CE132" s="355">
        <f t="shared" si="142"/>
        <v>20</v>
      </c>
      <c r="CF132" s="356">
        <f t="shared" si="143"/>
        <v>0.87730061349693256</v>
      </c>
      <c r="CG132" s="348">
        <f t="shared" si="144"/>
        <v>405.31288343558282</v>
      </c>
      <c r="CH132" s="370">
        <f t="shared" si="145"/>
        <v>8</v>
      </c>
      <c r="CI132" s="441"/>
      <c r="CJ132" s="453">
        <v>0</v>
      </c>
      <c r="CK132" s="372">
        <f t="shared" si="149"/>
        <v>0</v>
      </c>
      <c r="CL132" s="441">
        <v>2</v>
      </c>
      <c r="CM132" s="357" t="str">
        <f t="shared" si="146"/>
        <v>Excellent coverage</v>
      </c>
      <c r="CN132" s="447">
        <v>0</v>
      </c>
      <c r="CO132" s="753" t="s">
        <v>65</v>
      </c>
      <c r="CP132" s="482"/>
    </row>
    <row r="133" spans="2:94" s="36" customFormat="1" ht="30.75" customHeight="1" x14ac:dyDescent="0.2">
      <c r="B133" s="438" t="s">
        <v>131</v>
      </c>
      <c r="C133" s="430" t="s">
        <v>491</v>
      </c>
      <c r="D133" s="430" t="s">
        <v>257</v>
      </c>
      <c r="E133" s="430" t="s">
        <v>140</v>
      </c>
      <c r="F133" s="430">
        <v>97.411606000000006</v>
      </c>
      <c r="G133" s="430">
        <v>25.360475999999998</v>
      </c>
      <c r="H133" s="430" t="s">
        <v>442</v>
      </c>
      <c r="I133" s="430" t="s">
        <v>213</v>
      </c>
      <c r="J133" s="430" t="s">
        <v>814</v>
      </c>
      <c r="K133" s="430" t="s">
        <v>800</v>
      </c>
      <c r="L133" s="721">
        <v>72</v>
      </c>
      <c r="M133" s="721">
        <v>333</v>
      </c>
      <c r="N133" s="431">
        <v>318</v>
      </c>
      <c r="O133" s="660">
        <v>318</v>
      </c>
      <c r="P133" s="796" t="str">
        <f t="shared" ref="P133:P164" si="150">IF(L133&gt;50,IF(L133&gt;250,IF(L133&gt;500,IF(L133&gt;1000,"5. Massive","4. Big"),"3. Large"),"2. Medium"),"1. Small")</f>
        <v>2. Medium</v>
      </c>
      <c r="Q133" s="797" t="s">
        <v>330</v>
      </c>
      <c r="R133" s="432" t="s">
        <v>234</v>
      </c>
      <c r="S133" s="793" t="s">
        <v>299</v>
      </c>
      <c r="T133" s="365" t="str">
        <f t="shared" ref="T133:T164" si="151">IF(S133="None","Not covered","Covered")</f>
        <v>Not covered</v>
      </c>
      <c r="U133" s="437" t="s">
        <v>619</v>
      </c>
      <c r="V133" s="783" t="s">
        <v>254</v>
      </c>
      <c r="W133" s="363" t="str">
        <f t="shared" ref="W133:W164" si="152">IF(V133="Not documented","Not documented","Documented")</f>
        <v>Not documented</v>
      </c>
      <c r="X133" s="441">
        <v>0</v>
      </c>
      <c r="Y133" s="431">
        <v>0</v>
      </c>
      <c r="Z133" s="660" t="s">
        <v>19</v>
      </c>
      <c r="AA133" s="442" t="s">
        <v>19</v>
      </c>
      <c r="AB133" s="441">
        <v>1</v>
      </c>
      <c r="AC133" s="447">
        <v>1</v>
      </c>
      <c r="AD133" s="831">
        <v>1600</v>
      </c>
      <c r="AE133" s="454">
        <v>0</v>
      </c>
      <c r="AF133" s="463">
        <v>1</v>
      </c>
      <c r="AG133" s="455" t="s">
        <v>830</v>
      </c>
      <c r="AH133" s="368">
        <f t="shared" ref="AH133:AH164" si="153">IF((((X133/15)+((Y133/30)/15)+AB133*400+AC133*500+(AD133/15))/O133)&gt;1,1,(((X133/15)+((Y133/30)/15)+AB133*400+AC133*500+(AD133/15))/O133))</f>
        <v>1</v>
      </c>
      <c r="AI133" s="346">
        <f t="shared" ref="AI133:AI164" si="154">AH133*O133</f>
        <v>318</v>
      </c>
      <c r="AJ133" s="347">
        <f t="shared" ref="AJ133:AJ164" si="155">IF(((AB133*400+AC133*500+(AD133/15))/O133)&gt;1,1,(AB133*400+AC133*500+(AD133/15))/O133)</f>
        <v>1</v>
      </c>
      <c r="AK133" s="348">
        <f t="shared" ref="AK133:AK164" si="156">AJ133*O133</f>
        <v>318</v>
      </c>
      <c r="AL133" s="345">
        <f t="shared" ref="AL133:AL164" si="157">IF(AF133=0,AH133,IF(AF133&lt;AH133,AH133,AF133))</f>
        <v>1</v>
      </c>
      <c r="AM133" s="348">
        <f t="shared" ref="AM133:AM164" si="158">AL133*O133</f>
        <v>318</v>
      </c>
      <c r="AN133" s="349" t="str">
        <f t="shared" ref="AN133:AN164" si="159">IF(AH133&gt;0.15,IF(AH133&gt;0.3,IF(AH133&gt;0.45,IF(AH133&gt;0.6,IF(AH133&gt;0.8,"80-100%","60-80%"),"45-60%"),"30-45%"),"15-30%"),"0-10%")</f>
        <v>80-100%</v>
      </c>
      <c r="AO133" s="345">
        <f t="shared" ref="AO133:AO164" si="160">IF((AH133-AJ133)&lt; 0, 0, AH133-AJ133)</f>
        <v>0</v>
      </c>
      <c r="AP133" s="350">
        <f t="shared" ref="AP133:AP164" si="161">AO133*O133</f>
        <v>0</v>
      </c>
      <c r="AQ133" s="348">
        <f t="shared" ref="AQ133:AQ164" si="162">IF(O133/400-(AB133+AC133)&lt;0,0,O133/400-(AB133+AC133))</f>
        <v>0</v>
      </c>
      <c r="AR133" s="348">
        <f t="shared" ref="AR133:AR164" si="163">AF133*L133</f>
        <v>72</v>
      </c>
      <c r="AS133" s="348">
        <f t="shared" ref="AS133:AS164" si="164">AE133*O133</f>
        <v>0</v>
      </c>
      <c r="AT133" s="458">
        <v>1</v>
      </c>
      <c r="AU133" s="459">
        <f t="shared" ref="AU133:AU164" si="165">AT133*O133</f>
        <v>318</v>
      </c>
      <c r="AV133" s="448"/>
      <c r="AW133" s="813">
        <v>0</v>
      </c>
      <c r="AX133" s="449">
        <v>0</v>
      </c>
      <c r="AY133" s="431"/>
      <c r="AZ133" s="431">
        <v>12</v>
      </c>
      <c r="BA133" s="431"/>
      <c r="BB133" s="442" t="s">
        <v>289</v>
      </c>
      <c r="BC133" s="810">
        <f t="shared" ref="BC133:BC164" si="166">IF((((AX133+AZ133)*20)/O133)&gt;1,1,(((AX133+AZ133)*20)/O133))</f>
        <v>0.75471698113207553</v>
      </c>
      <c r="BD133" s="348">
        <f t="shared" ref="BD133:BD164" si="167">BC133*O133</f>
        <v>240.00000000000003</v>
      </c>
      <c r="BE133" s="351">
        <f t="shared" ref="BE133:BE164" si="168">BC133-BG133</f>
        <v>0</v>
      </c>
      <c r="BF133" s="348">
        <f t="shared" ref="BF133:BF164" si="169">BE133*O133</f>
        <v>0</v>
      </c>
      <c r="BG133" s="351">
        <f t="shared" ref="BG133:BG164" si="170">IF(((AZ133*20)/O133)&gt;1,1,((AZ133*20)/O133))</f>
        <v>0.75471698113207553</v>
      </c>
      <c r="BH133" s="348">
        <f t="shared" ref="BH133:BH164" si="171">BG133*O133</f>
        <v>240.00000000000003</v>
      </c>
      <c r="BI133" s="447">
        <v>0</v>
      </c>
      <c r="BJ133" s="463">
        <v>0.75</v>
      </c>
      <c r="BK133" s="352">
        <f t="shared" si="147"/>
        <v>238.5</v>
      </c>
      <c r="BL133" s="353">
        <f t="shared" si="148"/>
        <v>3.9000000000000004</v>
      </c>
      <c r="BM133" s="431">
        <v>2</v>
      </c>
      <c r="BN133" s="431" t="s">
        <v>89</v>
      </c>
      <c r="BO133" s="351">
        <f t="shared" ref="BO133:BO164" si="172">IF((BM133*100/O133)&gt;1,1,(BM133*100/O133))</f>
        <v>0.62893081761006286</v>
      </c>
      <c r="BP133" s="348">
        <f t="shared" ref="BP133:BP164" si="173">BO133*O133</f>
        <v>200</v>
      </c>
      <c r="BQ133" s="353">
        <f t="shared" ref="BQ133:BQ164" si="174">IF(M133/100-BM133&lt;0,0,M133/100-BM133)</f>
        <v>1.33</v>
      </c>
      <c r="BR133" s="458">
        <v>0.63</v>
      </c>
      <c r="BS133" s="348">
        <f t="shared" ref="BS133:BS164" si="175">BR133*O133</f>
        <v>200.34</v>
      </c>
      <c r="BT133" s="447">
        <v>0</v>
      </c>
      <c r="BU133" s="351">
        <f t="shared" ref="BU133:BU164" si="176">IF((BT133*100/O133)&gt;1,1,(BT133*100/O133))</f>
        <v>0</v>
      </c>
      <c r="BV133" s="353">
        <f t="shared" ref="BV133:BV164" si="177">IF(M133/100-BT133&lt;0,0,M133/100-BT133)</f>
        <v>3.33</v>
      </c>
      <c r="BW133" s="451">
        <v>0</v>
      </c>
      <c r="BX133" s="473" t="s">
        <v>848</v>
      </c>
      <c r="BY133" s="475">
        <v>42173</v>
      </c>
      <c r="BZ133" s="663" t="s">
        <v>821</v>
      </c>
      <c r="CA133" s="666"/>
      <c r="CB133" s="354">
        <f t="shared" ref="CB133:CB164" si="178">IF(BY133="","To be realised",IF(BY133="n/a","n/a",IF(BY133+365&lt;$E$2,"To be realised",BY133+365)))</f>
        <v>42538</v>
      </c>
      <c r="CC133" s="431">
        <v>71</v>
      </c>
      <c r="CD133" s="431">
        <v>0</v>
      </c>
      <c r="CE133" s="355">
        <f t="shared" ref="CE133:CE164" si="179">IF(CB133="n/a",0,IF(CB133="To be realised",L133,IF((L133-CC133)&lt;0,0,(L133-CC133))))</f>
        <v>1</v>
      </c>
      <c r="CF133" s="356">
        <f t="shared" ref="CF133:CF164" si="180">IF(CE133=0,1,(L133-CE133)/L133)</f>
        <v>0.98611111111111116</v>
      </c>
      <c r="CG133" s="348">
        <f t="shared" ref="CG133:CG164" si="181">CF133*O133</f>
        <v>313.58333333333337</v>
      </c>
      <c r="CH133" s="370">
        <f t="shared" ref="CH133:CH164" si="182">IF(BY133="","Column BN to be completed", IF(BY133="n/a",0,IF(($E$2-BY133-30)/30-CD133&lt;0,0,ROUND((($E$2-BY133-30)/30-CD133),0))))</f>
        <v>8</v>
      </c>
      <c r="CI133" s="441"/>
      <c r="CJ133" s="453">
        <v>0</v>
      </c>
      <c r="CK133" s="372">
        <f t="shared" si="149"/>
        <v>0</v>
      </c>
      <c r="CL133" s="441">
        <v>1</v>
      </c>
      <c r="CM133" s="357" t="str">
        <f t="shared" ref="CM133:CM164" si="183">IF(CL133=0,"No coverage",IF(O133/CL133&gt;1000,"Low coverage",IF(O133/CL133&gt;750,"Average coverage",IF(O133/CL133&gt;500,"Good coverage","Excellent coverage"))))</f>
        <v>Excellent coverage</v>
      </c>
      <c r="CN133" s="447">
        <v>0</v>
      </c>
      <c r="CO133" s="753" t="s">
        <v>65</v>
      </c>
      <c r="CP133" s="482"/>
    </row>
    <row r="134" spans="2:94" s="36" customFormat="1" ht="30.75" customHeight="1" x14ac:dyDescent="0.2">
      <c r="B134" s="438" t="s">
        <v>131</v>
      </c>
      <c r="C134" s="430" t="s">
        <v>484</v>
      </c>
      <c r="D134" s="430" t="s">
        <v>257</v>
      </c>
      <c r="E134" s="430" t="s">
        <v>141</v>
      </c>
      <c r="F134" s="430">
        <v>97.418694000000002</v>
      </c>
      <c r="G134" s="430">
        <v>25.428910999999999</v>
      </c>
      <c r="H134" s="430" t="s">
        <v>442</v>
      </c>
      <c r="I134" s="430" t="s">
        <v>213</v>
      </c>
      <c r="J134" s="430" t="s">
        <v>813</v>
      </c>
      <c r="K134" s="430" t="s">
        <v>800</v>
      </c>
      <c r="L134" s="721">
        <v>93</v>
      </c>
      <c r="M134" s="721">
        <v>446</v>
      </c>
      <c r="N134" s="431">
        <v>368</v>
      </c>
      <c r="O134" s="660">
        <v>368</v>
      </c>
      <c r="P134" s="796" t="str">
        <f t="shared" si="150"/>
        <v>2. Medium</v>
      </c>
      <c r="Q134" s="797" t="s">
        <v>330</v>
      </c>
      <c r="R134" s="432" t="s">
        <v>234</v>
      </c>
      <c r="S134" s="793" t="s">
        <v>299</v>
      </c>
      <c r="T134" s="365" t="str">
        <f t="shared" si="151"/>
        <v>Not covered</v>
      </c>
      <c r="U134" s="437" t="s">
        <v>619</v>
      </c>
      <c r="V134" s="783" t="s">
        <v>254</v>
      </c>
      <c r="W134" s="363" t="str">
        <f t="shared" si="152"/>
        <v>Not documented</v>
      </c>
      <c r="X134" s="441">
        <v>0</v>
      </c>
      <c r="Y134" s="431">
        <v>0</v>
      </c>
      <c r="Z134" s="660" t="s">
        <v>19</v>
      </c>
      <c r="AA134" s="442" t="s">
        <v>19</v>
      </c>
      <c r="AB134" s="441">
        <v>2</v>
      </c>
      <c r="AC134" s="447">
        <v>0</v>
      </c>
      <c r="AD134" s="831">
        <v>1000</v>
      </c>
      <c r="AE134" s="454">
        <v>0</v>
      </c>
      <c r="AF134" s="463">
        <v>1</v>
      </c>
      <c r="AG134" s="455" t="s">
        <v>830</v>
      </c>
      <c r="AH134" s="368">
        <f t="shared" si="153"/>
        <v>1</v>
      </c>
      <c r="AI134" s="346">
        <f t="shared" si="154"/>
        <v>368</v>
      </c>
      <c r="AJ134" s="347">
        <f t="shared" si="155"/>
        <v>1</v>
      </c>
      <c r="AK134" s="348">
        <f t="shared" si="156"/>
        <v>368</v>
      </c>
      <c r="AL134" s="345">
        <f t="shared" si="157"/>
        <v>1</v>
      </c>
      <c r="AM134" s="348">
        <f t="shared" si="158"/>
        <v>368</v>
      </c>
      <c r="AN134" s="349" t="str">
        <f t="shared" si="159"/>
        <v>80-100%</v>
      </c>
      <c r="AO134" s="345">
        <f t="shared" si="160"/>
        <v>0</v>
      </c>
      <c r="AP134" s="350">
        <f t="shared" si="161"/>
        <v>0</v>
      </c>
      <c r="AQ134" s="348">
        <f t="shared" si="162"/>
        <v>0</v>
      </c>
      <c r="AR134" s="348">
        <f t="shared" si="163"/>
        <v>93</v>
      </c>
      <c r="AS134" s="348">
        <f t="shared" si="164"/>
        <v>0</v>
      </c>
      <c r="AT134" s="458">
        <v>1</v>
      </c>
      <c r="AU134" s="459">
        <f t="shared" si="165"/>
        <v>368</v>
      </c>
      <c r="AV134" s="448"/>
      <c r="AW134" s="813">
        <v>14</v>
      </c>
      <c r="AX134" s="449">
        <v>0</v>
      </c>
      <c r="AY134" s="431"/>
      <c r="AZ134" s="431">
        <v>24</v>
      </c>
      <c r="BA134" s="431" t="s">
        <v>889</v>
      </c>
      <c r="BB134" s="442" t="s">
        <v>290</v>
      </c>
      <c r="BC134" s="810">
        <f t="shared" si="166"/>
        <v>1</v>
      </c>
      <c r="BD134" s="348">
        <f t="shared" si="167"/>
        <v>368</v>
      </c>
      <c r="BE134" s="351">
        <f t="shared" si="168"/>
        <v>0</v>
      </c>
      <c r="BF134" s="348">
        <f t="shared" si="169"/>
        <v>0</v>
      </c>
      <c r="BG134" s="351">
        <f t="shared" si="170"/>
        <v>1</v>
      </c>
      <c r="BH134" s="348">
        <f t="shared" si="171"/>
        <v>368</v>
      </c>
      <c r="BI134" s="447">
        <v>0</v>
      </c>
      <c r="BJ134" s="463">
        <v>1</v>
      </c>
      <c r="BK134" s="352">
        <f t="shared" si="147"/>
        <v>368</v>
      </c>
      <c r="BL134" s="353">
        <f t="shared" si="148"/>
        <v>0</v>
      </c>
      <c r="BM134" s="431">
        <v>2</v>
      </c>
      <c r="BN134" s="431" t="s">
        <v>89</v>
      </c>
      <c r="BO134" s="351">
        <f t="shared" si="172"/>
        <v>0.54347826086956519</v>
      </c>
      <c r="BP134" s="348">
        <f t="shared" si="173"/>
        <v>200</v>
      </c>
      <c r="BQ134" s="353">
        <f t="shared" si="174"/>
        <v>2.46</v>
      </c>
      <c r="BR134" s="458">
        <v>0.54</v>
      </c>
      <c r="BS134" s="348">
        <f t="shared" si="175"/>
        <v>198.72000000000003</v>
      </c>
      <c r="BT134" s="447">
        <v>0</v>
      </c>
      <c r="BU134" s="351">
        <f t="shared" si="176"/>
        <v>0</v>
      </c>
      <c r="BV134" s="353">
        <f t="shared" si="177"/>
        <v>4.46</v>
      </c>
      <c r="BW134" s="451">
        <v>0</v>
      </c>
      <c r="BX134" s="473" t="s">
        <v>849</v>
      </c>
      <c r="BY134" s="475">
        <v>42173</v>
      </c>
      <c r="BZ134" s="663" t="s">
        <v>821</v>
      </c>
      <c r="CA134" s="666"/>
      <c r="CB134" s="354">
        <f t="shared" si="178"/>
        <v>42538</v>
      </c>
      <c r="CC134" s="431">
        <v>87</v>
      </c>
      <c r="CD134" s="431">
        <v>0</v>
      </c>
      <c r="CE134" s="355">
        <f t="shared" si="179"/>
        <v>6</v>
      </c>
      <c r="CF134" s="356">
        <f t="shared" si="180"/>
        <v>0.93548387096774188</v>
      </c>
      <c r="CG134" s="348">
        <f t="shared" si="181"/>
        <v>344.25806451612902</v>
      </c>
      <c r="CH134" s="370">
        <f t="shared" si="182"/>
        <v>8</v>
      </c>
      <c r="CI134" s="441"/>
      <c r="CJ134" s="453">
        <v>0</v>
      </c>
      <c r="CK134" s="372">
        <f t="shared" si="149"/>
        <v>0</v>
      </c>
      <c r="CL134" s="441">
        <v>2</v>
      </c>
      <c r="CM134" s="357" t="str">
        <f t="shared" si="183"/>
        <v>Excellent coverage</v>
      </c>
      <c r="CN134" s="447">
        <v>0</v>
      </c>
      <c r="CO134" s="753" t="s">
        <v>65</v>
      </c>
      <c r="CP134" s="482"/>
    </row>
    <row r="135" spans="2:94" s="36" customFormat="1" ht="30.75" customHeight="1" x14ac:dyDescent="0.2">
      <c r="B135" s="438" t="s">
        <v>131</v>
      </c>
      <c r="C135" s="430" t="s">
        <v>494</v>
      </c>
      <c r="D135" s="430" t="s">
        <v>257</v>
      </c>
      <c r="E135" s="430" t="s">
        <v>142</v>
      </c>
      <c r="F135" s="430">
        <v>97.284729999999996</v>
      </c>
      <c r="G135" s="430">
        <v>25.374020000000002</v>
      </c>
      <c r="H135" s="430" t="s">
        <v>442</v>
      </c>
      <c r="I135" s="430" t="s">
        <v>213</v>
      </c>
      <c r="J135" s="430" t="s">
        <v>813</v>
      </c>
      <c r="K135" s="430" t="s">
        <v>800</v>
      </c>
      <c r="L135" s="721">
        <v>22</v>
      </c>
      <c r="M135" s="721">
        <v>110</v>
      </c>
      <c r="N135" s="431">
        <v>90</v>
      </c>
      <c r="O135" s="660">
        <v>103</v>
      </c>
      <c r="P135" s="796" t="str">
        <f t="shared" si="150"/>
        <v>1. Small</v>
      </c>
      <c r="Q135" s="797" t="s">
        <v>938</v>
      </c>
      <c r="R135" s="432" t="s">
        <v>275</v>
      </c>
      <c r="S135" s="793" t="s">
        <v>299</v>
      </c>
      <c r="T135" s="365" t="str">
        <f t="shared" si="151"/>
        <v>Not covered</v>
      </c>
      <c r="U135" s="437" t="s">
        <v>619</v>
      </c>
      <c r="V135" s="783" t="s">
        <v>254</v>
      </c>
      <c r="W135" s="363" t="str">
        <f t="shared" si="152"/>
        <v>Not documented</v>
      </c>
      <c r="X135" s="441">
        <v>0</v>
      </c>
      <c r="Y135" s="431">
        <v>0</v>
      </c>
      <c r="Z135" s="660" t="s">
        <v>18</v>
      </c>
      <c r="AA135" s="442" t="s">
        <v>19</v>
      </c>
      <c r="AB135" s="441">
        <v>1</v>
      </c>
      <c r="AC135" s="447">
        <v>1</v>
      </c>
      <c r="AD135" s="831">
        <v>3000</v>
      </c>
      <c r="AE135" s="454">
        <v>0</v>
      </c>
      <c r="AF135" s="463">
        <v>0</v>
      </c>
      <c r="AG135" s="455"/>
      <c r="AH135" s="368">
        <f t="shared" si="153"/>
        <v>1</v>
      </c>
      <c r="AI135" s="346">
        <f t="shared" si="154"/>
        <v>103</v>
      </c>
      <c r="AJ135" s="347">
        <f t="shared" si="155"/>
        <v>1</v>
      </c>
      <c r="AK135" s="348">
        <f t="shared" si="156"/>
        <v>103</v>
      </c>
      <c r="AL135" s="345">
        <f t="shared" si="157"/>
        <v>1</v>
      </c>
      <c r="AM135" s="348">
        <f t="shared" si="158"/>
        <v>103</v>
      </c>
      <c r="AN135" s="349" t="str">
        <f t="shared" si="159"/>
        <v>80-100%</v>
      </c>
      <c r="AO135" s="345">
        <f t="shared" si="160"/>
        <v>0</v>
      </c>
      <c r="AP135" s="350">
        <f t="shared" si="161"/>
        <v>0</v>
      </c>
      <c r="AQ135" s="348">
        <f t="shared" si="162"/>
        <v>0</v>
      </c>
      <c r="AR135" s="348">
        <f t="shared" si="163"/>
        <v>0</v>
      </c>
      <c r="AS135" s="348">
        <f t="shared" si="164"/>
        <v>0</v>
      </c>
      <c r="AT135" s="458">
        <v>1</v>
      </c>
      <c r="AU135" s="459">
        <f t="shared" si="165"/>
        <v>103</v>
      </c>
      <c r="AV135" s="448"/>
      <c r="AW135" s="813">
        <v>6</v>
      </c>
      <c r="AX135" s="449">
        <v>2</v>
      </c>
      <c r="AY135" s="431"/>
      <c r="AZ135" s="431">
        <v>5</v>
      </c>
      <c r="BA135" s="431" t="s">
        <v>888</v>
      </c>
      <c r="BB135" s="442" t="s">
        <v>289</v>
      </c>
      <c r="BC135" s="810">
        <f t="shared" si="166"/>
        <v>1</v>
      </c>
      <c r="BD135" s="348">
        <f t="shared" si="167"/>
        <v>103</v>
      </c>
      <c r="BE135" s="351">
        <f t="shared" si="168"/>
        <v>2.9126213592232997E-2</v>
      </c>
      <c r="BF135" s="348">
        <f t="shared" si="169"/>
        <v>2.9999999999999987</v>
      </c>
      <c r="BG135" s="351">
        <f t="shared" si="170"/>
        <v>0.970873786407767</v>
      </c>
      <c r="BH135" s="348">
        <f t="shared" si="171"/>
        <v>100</v>
      </c>
      <c r="BI135" s="447">
        <v>0</v>
      </c>
      <c r="BJ135" s="463">
        <v>1</v>
      </c>
      <c r="BK135" s="352">
        <f t="shared" ref="BK135:BK166" si="184">BJ135*O135</f>
        <v>103</v>
      </c>
      <c r="BL135" s="353">
        <f t="shared" ref="BL135:BL166" si="185">IF((O135/20-AZ135+BI135)&lt;0,0,(O135/20-AZ135+BI135))</f>
        <v>0.15000000000000036</v>
      </c>
      <c r="BM135" s="431">
        <v>2</v>
      </c>
      <c r="BN135" s="431" t="s">
        <v>290</v>
      </c>
      <c r="BO135" s="351">
        <f t="shared" si="172"/>
        <v>1</v>
      </c>
      <c r="BP135" s="348">
        <f t="shared" si="173"/>
        <v>103</v>
      </c>
      <c r="BQ135" s="353">
        <f t="shared" si="174"/>
        <v>0</v>
      </c>
      <c r="BR135" s="458">
        <v>1</v>
      </c>
      <c r="BS135" s="348">
        <f t="shared" si="175"/>
        <v>103</v>
      </c>
      <c r="BT135" s="447">
        <v>2</v>
      </c>
      <c r="BU135" s="351">
        <f t="shared" si="176"/>
        <v>1</v>
      </c>
      <c r="BV135" s="353">
        <f t="shared" si="177"/>
        <v>0</v>
      </c>
      <c r="BW135" s="451">
        <v>1</v>
      </c>
      <c r="BX135" s="473"/>
      <c r="BY135" s="475">
        <v>42048</v>
      </c>
      <c r="BZ135" s="663" t="s">
        <v>821</v>
      </c>
      <c r="CA135" s="666"/>
      <c r="CB135" s="354" t="str">
        <f t="shared" si="178"/>
        <v>To be realised</v>
      </c>
      <c r="CC135" s="431">
        <v>22</v>
      </c>
      <c r="CD135" s="431">
        <v>2</v>
      </c>
      <c r="CE135" s="355">
        <f t="shared" si="179"/>
        <v>22</v>
      </c>
      <c r="CF135" s="356">
        <f t="shared" si="180"/>
        <v>0</v>
      </c>
      <c r="CG135" s="348">
        <f t="shared" si="181"/>
        <v>0</v>
      </c>
      <c r="CH135" s="370">
        <f t="shared" si="182"/>
        <v>10</v>
      </c>
      <c r="CI135" s="441"/>
      <c r="CJ135" s="453">
        <v>0</v>
      </c>
      <c r="CK135" s="372">
        <f t="shared" ref="CK135:CK166" si="186">CJ135*O135</f>
        <v>0</v>
      </c>
      <c r="CL135" s="441">
        <v>2</v>
      </c>
      <c r="CM135" s="357" t="str">
        <f t="shared" si="183"/>
        <v>Excellent coverage</v>
      </c>
      <c r="CN135" s="447">
        <v>0</v>
      </c>
      <c r="CO135" s="753" t="s">
        <v>65</v>
      </c>
      <c r="CP135" s="482"/>
    </row>
    <row r="136" spans="2:94" s="36" customFormat="1" ht="30.75" customHeight="1" x14ac:dyDescent="0.2">
      <c r="B136" s="438" t="s">
        <v>131</v>
      </c>
      <c r="C136" s="430" t="s">
        <v>495</v>
      </c>
      <c r="D136" s="430" t="s">
        <v>257</v>
      </c>
      <c r="E136" s="430" t="s">
        <v>143</v>
      </c>
      <c r="F136" s="430">
        <v>97.291079999999994</v>
      </c>
      <c r="G136" s="430">
        <v>25.371179999999999</v>
      </c>
      <c r="H136" s="430" t="s">
        <v>442</v>
      </c>
      <c r="I136" s="430" t="s">
        <v>213</v>
      </c>
      <c r="J136" s="430" t="s">
        <v>813</v>
      </c>
      <c r="K136" s="430" t="s">
        <v>800</v>
      </c>
      <c r="L136" s="721">
        <v>14</v>
      </c>
      <c r="M136" s="721">
        <v>103</v>
      </c>
      <c r="N136" s="431">
        <v>60</v>
      </c>
      <c r="O136" s="660">
        <v>72</v>
      </c>
      <c r="P136" s="796" t="str">
        <f t="shared" si="150"/>
        <v>1. Small</v>
      </c>
      <c r="Q136" s="797" t="s">
        <v>938</v>
      </c>
      <c r="R136" s="432" t="s">
        <v>275</v>
      </c>
      <c r="S136" s="793" t="s">
        <v>299</v>
      </c>
      <c r="T136" s="365" t="str">
        <f t="shared" si="151"/>
        <v>Not covered</v>
      </c>
      <c r="U136" s="437" t="s">
        <v>619</v>
      </c>
      <c r="V136" s="783" t="s">
        <v>254</v>
      </c>
      <c r="W136" s="363" t="str">
        <f t="shared" si="152"/>
        <v>Not documented</v>
      </c>
      <c r="X136" s="441">
        <v>0</v>
      </c>
      <c r="Y136" s="431">
        <v>0</v>
      </c>
      <c r="Z136" s="660" t="s">
        <v>18</v>
      </c>
      <c r="AA136" s="442" t="s">
        <v>19</v>
      </c>
      <c r="AB136" s="441">
        <v>1</v>
      </c>
      <c r="AC136" s="447">
        <v>0</v>
      </c>
      <c r="AD136" s="831">
        <v>3000</v>
      </c>
      <c r="AE136" s="454">
        <v>0</v>
      </c>
      <c r="AF136" s="463">
        <v>0</v>
      </c>
      <c r="AG136" s="455"/>
      <c r="AH136" s="368">
        <f t="shared" si="153"/>
        <v>1</v>
      </c>
      <c r="AI136" s="346">
        <f t="shared" si="154"/>
        <v>72</v>
      </c>
      <c r="AJ136" s="347">
        <f t="shared" si="155"/>
        <v>1</v>
      </c>
      <c r="AK136" s="348">
        <f t="shared" si="156"/>
        <v>72</v>
      </c>
      <c r="AL136" s="345">
        <f t="shared" si="157"/>
        <v>1</v>
      </c>
      <c r="AM136" s="348">
        <f t="shared" si="158"/>
        <v>72</v>
      </c>
      <c r="AN136" s="349" t="str">
        <f t="shared" si="159"/>
        <v>80-100%</v>
      </c>
      <c r="AO136" s="345">
        <f t="shared" si="160"/>
        <v>0</v>
      </c>
      <c r="AP136" s="350">
        <f t="shared" si="161"/>
        <v>0</v>
      </c>
      <c r="AQ136" s="348">
        <f t="shared" si="162"/>
        <v>0</v>
      </c>
      <c r="AR136" s="348">
        <f t="shared" si="163"/>
        <v>0</v>
      </c>
      <c r="AS136" s="348">
        <f t="shared" si="164"/>
        <v>0</v>
      </c>
      <c r="AT136" s="458">
        <v>1</v>
      </c>
      <c r="AU136" s="808">
        <f t="shared" si="165"/>
        <v>72</v>
      </c>
      <c r="AV136" s="448"/>
      <c r="AW136" s="813">
        <v>115</v>
      </c>
      <c r="AX136" s="449">
        <v>0</v>
      </c>
      <c r="AY136" s="431"/>
      <c r="AZ136" s="431">
        <v>5</v>
      </c>
      <c r="BA136" s="431" t="s">
        <v>891</v>
      </c>
      <c r="BB136" s="442" t="s">
        <v>289</v>
      </c>
      <c r="BC136" s="810">
        <f t="shared" si="166"/>
        <v>1</v>
      </c>
      <c r="BD136" s="348">
        <f t="shared" si="167"/>
        <v>72</v>
      </c>
      <c r="BE136" s="351">
        <f t="shared" si="168"/>
        <v>0</v>
      </c>
      <c r="BF136" s="348">
        <f t="shared" si="169"/>
        <v>0</v>
      </c>
      <c r="BG136" s="351">
        <f t="shared" si="170"/>
        <v>1</v>
      </c>
      <c r="BH136" s="348">
        <f t="shared" si="171"/>
        <v>72</v>
      </c>
      <c r="BI136" s="447">
        <v>0</v>
      </c>
      <c r="BJ136" s="463">
        <v>1</v>
      </c>
      <c r="BK136" s="352">
        <f t="shared" si="184"/>
        <v>72</v>
      </c>
      <c r="BL136" s="353">
        <f t="shared" si="185"/>
        <v>0</v>
      </c>
      <c r="BM136" s="431">
        <v>2</v>
      </c>
      <c r="BN136" s="431" t="s">
        <v>290</v>
      </c>
      <c r="BO136" s="351">
        <f t="shared" si="172"/>
        <v>1</v>
      </c>
      <c r="BP136" s="348">
        <f t="shared" si="173"/>
        <v>72</v>
      </c>
      <c r="BQ136" s="353">
        <f t="shared" si="174"/>
        <v>0</v>
      </c>
      <c r="BR136" s="463">
        <v>1</v>
      </c>
      <c r="BS136" s="348">
        <f t="shared" si="175"/>
        <v>72</v>
      </c>
      <c r="BT136" s="431">
        <v>1</v>
      </c>
      <c r="BU136" s="351">
        <f t="shared" si="176"/>
        <v>1</v>
      </c>
      <c r="BV136" s="353">
        <f t="shared" si="177"/>
        <v>3.0000000000000027E-2</v>
      </c>
      <c r="BW136" s="451">
        <v>1</v>
      </c>
      <c r="BX136" s="473"/>
      <c r="BY136" s="475">
        <v>42048</v>
      </c>
      <c r="BZ136" s="663" t="s">
        <v>821</v>
      </c>
      <c r="CA136" s="666"/>
      <c r="CB136" s="354" t="str">
        <f t="shared" si="178"/>
        <v>To be realised</v>
      </c>
      <c r="CC136" s="431">
        <v>14</v>
      </c>
      <c r="CD136" s="431">
        <v>7</v>
      </c>
      <c r="CE136" s="355">
        <f t="shared" si="179"/>
        <v>14</v>
      </c>
      <c r="CF136" s="356">
        <f t="shared" si="180"/>
        <v>0</v>
      </c>
      <c r="CG136" s="348">
        <f t="shared" si="181"/>
        <v>0</v>
      </c>
      <c r="CH136" s="370">
        <f t="shared" si="182"/>
        <v>5</v>
      </c>
      <c r="CI136" s="441"/>
      <c r="CJ136" s="453">
        <v>0</v>
      </c>
      <c r="CK136" s="372">
        <f t="shared" si="186"/>
        <v>0</v>
      </c>
      <c r="CL136" s="441">
        <v>2</v>
      </c>
      <c r="CM136" s="357" t="str">
        <f t="shared" si="183"/>
        <v>Excellent coverage</v>
      </c>
      <c r="CN136" s="447">
        <v>0</v>
      </c>
      <c r="CO136" s="753" t="s">
        <v>65</v>
      </c>
      <c r="CP136" s="482"/>
    </row>
    <row r="137" spans="2:94" s="36" customFormat="1" ht="30.75" customHeight="1" x14ac:dyDescent="0.2">
      <c r="B137" s="438" t="s">
        <v>131</v>
      </c>
      <c r="C137" s="430" t="s">
        <v>498</v>
      </c>
      <c r="D137" s="430" t="s">
        <v>257</v>
      </c>
      <c r="E137" s="430" t="s">
        <v>215</v>
      </c>
      <c r="F137" s="430">
        <v>97.359380000000002</v>
      </c>
      <c r="G137" s="430">
        <v>25.411770000000001</v>
      </c>
      <c r="H137" s="430" t="s">
        <v>442</v>
      </c>
      <c r="I137" s="430" t="s">
        <v>213</v>
      </c>
      <c r="J137" s="430" t="s">
        <v>813</v>
      </c>
      <c r="K137" s="430" t="s">
        <v>800</v>
      </c>
      <c r="L137" s="721">
        <v>70</v>
      </c>
      <c r="M137" s="721">
        <v>326</v>
      </c>
      <c r="N137" s="431">
        <v>308</v>
      </c>
      <c r="O137" s="660">
        <v>308</v>
      </c>
      <c r="P137" s="796" t="str">
        <f t="shared" si="150"/>
        <v>2. Medium</v>
      </c>
      <c r="Q137" s="797" t="s">
        <v>828</v>
      </c>
      <c r="R137" s="432" t="s">
        <v>230</v>
      </c>
      <c r="S137" s="793" t="s">
        <v>299</v>
      </c>
      <c r="T137" s="365" t="str">
        <f t="shared" si="151"/>
        <v>Not covered</v>
      </c>
      <c r="U137" s="437" t="s">
        <v>619</v>
      </c>
      <c r="V137" s="783" t="s">
        <v>254</v>
      </c>
      <c r="W137" s="363" t="str">
        <f t="shared" si="152"/>
        <v>Not documented</v>
      </c>
      <c r="X137" s="441">
        <v>0</v>
      </c>
      <c r="Y137" s="431">
        <v>0</v>
      </c>
      <c r="Z137" s="660" t="s">
        <v>19</v>
      </c>
      <c r="AA137" s="442" t="s">
        <v>19</v>
      </c>
      <c r="AB137" s="441">
        <v>0</v>
      </c>
      <c r="AC137" s="447">
        <v>4</v>
      </c>
      <c r="AD137" s="831">
        <v>8000</v>
      </c>
      <c r="AE137" s="454">
        <v>0</v>
      </c>
      <c r="AF137" s="463">
        <v>1</v>
      </c>
      <c r="AG137" s="455"/>
      <c r="AH137" s="368">
        <f t="shared" si="153"/>
        <v>1</v>
      </c>
      <c r="AI137" s="346">
        <f t="shared" si="154"/>
        <v>308</v>
      </c>
      <c r="AJ137" s="347">
        <f t="shared" si="155"/>
        <v>1</v>
      </c>
      <c r="AK137" s="348">
        <f t="shared" si="156"/>
        <v>308</v>
      </c>
      <c r="AL137" s="345">
        <f t="shared" si="157"/>
        <v>1</v>
      </c>
      <c r="AM137" s="348">
        <f t="shared" si="158"/>
        <v>308</v>
      </c>
      <c r="AN137" s="349" t="str">
        <f t="shared" si="159"/>
        <v>80-100%</v>
      </c>
      <c r="AO137" s="345">
        <f t="shared" si="160"/>
        <v>0</v>
      </c>
      <c r="AP137" s="350">
        <f t="shared" si="161"/>
        <v>0</v>
      </c>
      <c r="AQ137" s="348">
        <f t="shared" si="162"/>
        <v>0</v>
      </c>
      <c r="AR137" s="348">
        <f t="shared" si="163"/>
        <v>70</v>
      </c>
      <c r="AS137" s="348">
        <f t="shared" si="164"/>
        <v>0</v>
      </c>
      <c r="AT137" s="458">
        <v>1</v>
      </c>
      <c r="AU137" s="808">
        <f t="shared" si="165"/>
        <v>308</v>
      </c>
      <c r="AV137" s="448"/>
      <c r="AW137" s="813">
        <v>2</v>
      </c>
      <c r="AX137" s="449">
        <v>17</v>
      </c>
      <c r="AY137" s="431"/>
      <c r="AZ137" s="431">
        <v>6</v>
      </c>
      <c r="BA137" s="431"/>
      <c r="BB137" s="442" t="s">
        <v>290</v>
      </c>
      <c r="BC137" s="810">
        <f t="shared" si="166"/>
        <v>1</v>
      </c>
      <c r="BD137" s="348">
        <f t="shared" si="167"/>
        <v>308</v>
      </c>
      <c r="BE137" s="351">
        <f t="shared" si="168"/>
        <v>0.61038961038961037</v>
      </c>
      <c r="BF137" s="348">
        <f t="shared" si="169"/>
        <v>188</v>
      </c>
      <c r="BG137" s="351">
        <f t="shared" si="170"/>
        <v>0.38961038961038963</v>
      </c>
      <c r="BH137" s="348">
        <f t="shared" si="171"/>
        <v>120</v>
      </c>
      <c r="BI137" s="447">
        <v>0</v>
      </c>
      <c r="BJ137" s="463">
        <v>1</v>
      </c>
      <c r="BK137" s="352">
        <f t="shared" si="184"/>
        <v>308</v>
      </c>
      <c r="BL137" s="353">
        <f t="shared" si="185"/>
        <v>9.4</v>
      </c>
      <c r="BM137" s="431">
        <v>3</v>
      </c>
      <c r="BN137" s="431" t="s">
        <v>290</v>
      </c>
      <c r="BO137" s="351">
        <f t="shared" si="172"/>
        <v>0.97402597402597402</v>
      </c>
      <c r="BP137" s="348">
        <f t="shared" si="173"/>
        <v>300</v>
      </c>
      <c r="BQ137" s="353">
        <f t="shared" si="174"/>
        <v>0.25999999999999979</v>
      </c>
      <c r="BR137" s="463">
        <v>0.97</v>
      </c>
      <c r="BS137" s="348">
        <f t="shared" si="175"/>
        <v>298.76</v>
      </c>
      <c r="BT137" s="431">
        <v>4</v>
      </c>
      <c r="BU137" s="351">
        <f t="shared" si="176"/>
        <v>1</v>
      </c>
      <c r="BV137" s="353">
        <f t="shared" si="177"/>
        <v>0</v>
      </c>
      <c r="BW137" s="451">
        <v>1</v>
      </c>
      <c r="BX137" s="473"/>
      <c r="BY137" s="475">
        <v>41781</v>
      </c>
      <c r="BZ137" s="663" t="s">
        <v>821</v>
      </c>
      <c r="CA137" s="666">
        <v>0</v>
      </c>
      <c r="CB137" s="354" t="str">
        <f t="shared" si="178"/>
        <v>To be realised</v>
      </c>
      <c r="CC137" s="431">
        <v>72</v>
      </c>
      <c r="CD137" s="431">
        <v>2</v>
      </c>
      <c r="CE137" s="355">
        <f t="shared" si="179"/>
        <v>70</v>
      </c>
      <c r="CF137" s="356">
        <f t="shared" si="180"/>
        <v>0</v>
      </c>
      <c r="CG137" s="348">
        <f t="shared" si="181"/>
        <v>0</v>
      </c>
      <c r="CH137" s="370">
        <f t="shared" si="182"/>
        <v>19</v>
      </c>
      <c r="CI137" s="441"/>
      <c r="CJ137" s="453">
        <v>0</v>
      </c>
      <c r="CK137" s="372">
        <f t="shared" si="186"/>
        <v>0</v>
      </c>
      <c r="CL137" s="441">
        <v>2</v>
      </c>
      <c r="CM137" s="357" t="str">
        <f t="shared" si="183"/>
        <v>Excellent coverage</v>
      </c>
      <c r="CN137" s="447">
        <v>0</v>
      </c>
      <c r="CO137" s="753" t="s">
        <v>292</v>
      </c>
      <c r="CP137" s="482"/>
    </row>
    <row r="138" spans="2:94" s="36" customFormat="1" ht="30.75" customHeight="1" x14ac:dyDescent="0.2">
      <c r="B138" s="438" t="s">
        <v>131</v>
      </c>
      <c r="C138" s="430" t="s">
        <v>477</v>
      </c>
      <c r="D138" s="430" t="s">
        <v>257</v>
      </c>
      <c r="E138" s="430" t="s">
        <v>214</v>
      </c>
      <c r="F138" s="430">
        <v>97.394547000000003</v>
      </c>
      <c r="G138" s="430">
        <v>25.422194000000001</v>
      </c>
      <c r="H138" s="430" t="s">
        <v>442</v>
      </c>
      <c r="I138" s="430" t="s">
        <v>213</v>
      </c>
      <c r="J138" s="430" t="s">
        <v>813</v>
      </c>
      <c r="K138" s="430" t="s">
        <v>800</v>
      </c>
      <c r="L138" s="721">
        <v>56</v>
      </c>
      <c r="M138" s="721">
        <v>230</v>
      </c>
      <c r="N138" s="431">
        <v>221</v>
      </c>
      <c r="O138" s="660">
        <v>221</v>
      </c>
      <c r="P138" s="796" t="str">
        <f t="shared" si="150"/>
        <v>2. Medium</v>
      </c>
      <c r="Q138" s="797" t="s">
        <v>330</v>
      </c>
      <c r="R138" s="432" t="s">
        <v>234</v>
      </c>
      <c r="S138" s="793" t="s">
        <v>299</v>
      </c>
      <c r="T138" s="365" t="str">
        <f t="shared" si="151"/>
        <v>Not covered</v>
      </c>
      <c r="U138" s="437" t="s">
        <v>619</v>
      </c>
      <c r="V138" s="783" t="s">
        <v>254</v>
      </c>
      <c r="W138" s="363" t="str">
        <f t="shared" si="152"/>
        <v>Not documented</v>
      </c>
      <c r="X138" s="441">
        <v>0</v>
      </c>
      <c r="Y138" s="431">
        <v>0</v>
      </c>
      <c r="Z138" s="660" t="s">
        <v>19</v>
      </c>
      <c r="AA138" s="442" t="s">
        <v>19</v>
      </c>
      <c r="AB138" s="449">
        <v>2</v>
      </c>
      <c r="AC138" s="431">
        <v>2</v>
      </c>
      <c r="AD138" s="831">
        <v>0</v>
      </c>
      <c r="AE138" s="454">
        <v>0</v>
      </c>
      <c r="AF138" s="463">
        <v>1</v>
      </c>
      <c r="AG138" s="455" t="s">
        <v>830</v>
      </c>
      <c r="AH138" s="368">
        <f t="shared" si="153"/>
        <v>1</v>
      </c>
      <c r="AI138" s="346">
        <f t="shared" si="154"/>
        <v>221</v>
      </c>
      <c r="AJ138" s="347">
        <f t="shared" si="155"/>
        <v>1</v>
      </c>
      <c r="AK138" s="348">
        <f t="shared" si="156"/>
        <v>221</v>
      </c>
      <c r="AL138" s="345">
        <f t="shared" si="157"/>
        <v>1</v>
      </c>
      <c r="AM138" s="348">
        <f t="shared" si="158"/>
        <v>221</v>
      </c>
      <c r="AN138" s="349" t="str">
        <f t="shared" si="159"/>
        <v>80-100%</v>
      </c>
      <c r="AO138" s="345">
        <f t="shared" si="160"/>
        <v>0</v>
      </c>
      <c r="AP138" s="350">
        <f t="shared" si="161"/>
        <v>0</v>
      </c>
      <c r="AQ138" s="348">
        <f t="shared" si="162"/>
        <v>0</v>
      </c>
      <c r="AR138" s="348">
        <f t="shared" si="163"/>
        <v>56</v>
      </c>
      <c r="AS138" s="348">
        <f t="shared" si="164"/>
        <v>0</v>
      </c>
      <c r="AT138" s="463">
        <v>1</v>
      </c>
      <c r="AU138" s="808">
        <f t="shared" si="165"/>
        <v>221</v>
      </c>
      <c r="AV138" s="442"/>
      <c r="AW138" s="814">
        <v>0</v>
      </c>
      <c r="AX138" s="449">
        <v>0</v>
      </c>
      <c r="AY138" s="431"/>
      <c r="AZ138" s="431">
        <v>8</v>
      </c>
      <c r="BA138" s="431" t="s">
        <v>889</v>
      </c>
      <c r="BB138" s="442" t="s">
        <v>289</v>
      </c>
      <c r="BC138" s="810">
        <f t="shared" si="166"/>
        <v>0.72398190045248867</v>
      </c>
      <c r="BD138" s="348">
        <f t="shared" si="167"/>
        <v>160</v>
      </c>
      <c r="BE138" s="351">
        <f t="shared" si="168"/>
        <v>0</v>
      </c>
      <c r="BF138" s="348">
        <f t="shared" si="169"/>
        <v>0</v>
      </c>
      <c r="BG138" s="351">
        <f t="shared" si="170"/>
        <v>0.72398190045248867</v>
      </c>
      <c r="BH138" s="348">
        <f t="shared" si="171"/>
        <v>160</v>
      </c>
      <c r="BI138" s="447">
        <v>0</v>
      </c>
      <c r="BJ138" s="463">
        <v>0.72</v>
      </c>
      <c r="BK138" s="352">
        <f t="shared" si="184"/>
        <v>159.12</v>
      </c>
      <c r="BL138" s="353">
        <f t="shared" si="185"/>
        <v>3.0500000000000007</v>
      </c>
      <c r="BM138" s="431">
        <v>2</v>
      </c>
      <c r="BN138" s="431" t="s">
        <v>290</v>
      </c>
      <c r="BO138" s="351">
        <f t="shared" si="172"/>
        <v>0.90497737556561086</v>
      </c>
      <c r="BP138" s="348">
        <f t="shared" si="173"/>
        <v>200</v>
      </c>
      <c r="BQ138" s="353">
        <f t="shared" si="174"/>
        <v>0.29999999999999982</v>
      </c>
      <c r="BR138" s="458">
        <v>0.9</v>
      </c>
      <c r="BS138" s="348">
        <f t="shared" si="175"/>
        <v>198.9</v>
      </c>
      <c r="BT138" s="431">
        <v>0</v>
      </c>
      <c r="BU138" s="351">
        <f t="shared" si="176"/>
        <v>0</v>
      </c>
      <c r="BV138" s="353">
        <f t="shared" si="177"/>
        <v>2.2999999999999998</v>
      </c>
      <c r="BW138" s="453">
        <v>0</v>
      </c>
      <c r="BX138" s="474" t="s">
        <v>850</v>
      </c>
      <c r="BY138" s="475">
        <v>42173</v>
      </c>
      <c r="BZ138" s="663" t="s">
        <v>821</v>
      </c>
      <c r="CA138" s="666"/>
      <c r="CB138" s="354">
        <f t="shared" si="178"/>
        <v>42538</v>
      </c>
      <c r="CC138" s="431">
        <v>55</v>
      </c>
      <c r="CD138" s="431">
        <v>0</v>
      </c>
      <c r="CE138" s="358">
        <f t="shared" si="179"/>
        <v>1</v>
      </c>
      <c r="CF138" s="359">
        <f t="shared" si="180"/>
        <v>0.9821428571428571</v>
      </c>
      <c r="CG138" s="352">
        <f t="shared" si="181"/>
        <v>217.05357142857142</v>
      </c>
      <c r="CH138" s="654">
        <f t="shared" si="182"/>
        <v>8</v>
      </c>
      <c r="CI138" s="441"/>
      <c r="CJ138" s="453">
        <v>0</v>
      </c>
      <c r="CK138" s="372">
        <f t="shared" si="186"/>
        <v>0</v>
      </c>
      <c r="CL138" s="449">
        <v>2</v>
      </c>
      <c r="CM138" s="357" t="str">
        <f t="shared" si="183"/>
        <v>Excellent coverage</v>
      </c>
      <c r="CN138" s="431">
        <v>0</v>
      </c>
      <c r="CO138" s="753" t="s">
        <v>65</v>
      </c>
      <c r="CP138" s="482"/>
    </row>
    <row r="139" spans="2:94" s="36" customFormat="1" ht="30.75" customHeight="1" x14ac:dyDescent="0.2">
      <c r="B139" s="438" t="s">
        <v>131</v>
      </c>
      <c r="C139" s="430" t="s">
        <v>499</v>
      </c>
      <c r="D139" s="430" t="s">
        <v>257</v>
      </c>
      <c r="E139" s="430" t="s">
        <v>144</v>
      </c>
      <c r="F139" s="430">
        <v>97.4345</v>
      </c>
      <c r="G139" s="430">
        <v>25.493819999999999</v>
      </c>
      <c r="H139" s="430" t="s">
        <v>442</v>
      </c>
      <c r="I139" s="430" t="s">
        <v>213</v>
      </c>
      <c r="J139" s="430" t="s">
        <v>813</v>
      </c>
      <c r="K139" s="430" t="s">
        <v>800</v>
      </c>
      <c r="L139" s="721">
        <v>41</v>
      </c>
      <c r="M139" s="721">
        <v>233</v>
      </c>
      <c r="N139" s="431">
        <v>176</v>
      </c>
      <c r="O139" s="660">
        <v>176</v>
      </c>
      <c r="P139" s="796" t="str">
        <f t="shared" si="150"/>
        <v>1. Small</v>
      </c>
      <c r="Q139" s="797" t="s">
        <v>828</v>
      </c>
      <c r="R139" s="432" t="s">
        <v>230</v>
      </c>
      <c r="S139" s="793" t="s">
        <v>299</v>
      </c>
      <c r="T139" s="365" t="str">
        <f t="shared" si="151"/>
        <v>Not covered</v>
      </c>
      <c r="U139" s="437" t="s">
        <v>619</v>
      </c>
      <c r="V139" s="783" t="s">
        <v>254</v>
      </c>
      <c r="W139" s="363" t="str">
        <f t="shared" si="152"/>
        <v>Not documented</v>
      </c>
      <c r="X139" s="441">
        <v>0</v>
      </c>
      <c r="Y139" s="431">
        <v>0</v>
      </c>
      <c r="Z139" s="660" t="s">
        <v>18</v>
      </c>
      <c r="AA139" s="442" t="s">
        <v>19</v>
      </c>
      <c r="AB139" s="449">
        <v>1</v>
      </c>
      <c r="AC139" s="431">
        <v>1</v>
      </c>
      <c r="AD139" s="831">
        <v>3000</v>
      </c>
      <c r="AE139" s="454">
        <v>0</v>
      </c>
      <c r="AF139" s="463">
        <v>1</v>
      </c>
      <c r="AG139" s="455"/>
      <c r="AH139" s="368">
        <f t="shared" si="153"/>
        <v>1</v>
      </c>
      <c r="AI139" s="346">
        <f t="shared" si="154"/>
        <v>176</v>
      </c>
      <c r="AJ139" s="347">
        <f t="shared" si="155"/>
        <v>1</v>
      </c>
      <c r="AK139" s="348">
        <f t="shared" si="156"/>
        <v>176</v>
      </c>
      <c r="AL139" s="345">
        <f t="shared" si="157"/>
        <v>1</v>
      </c>
      <c r="AM139" s="348">
        <f t="shared" si="158"/>
        <v>176</v>
      </c>
      <c r="AN139" s="349" t="str">
        <f t="shared" si="159"/>
        <v>80-100%</v>
      </c>
      <c r="AO139" s="345">
        <f t="shared" si="160"/>
        <v>0</v>
      </c>
      <c r="AP139" s="350">
        <f t="shared" si="161"/>
        <v>0</v>
      </c>
      <c r="AQ139" s="348">
        <f t="shared" si="162"/>
        <v>0</v>
      </c>
      <c r="AR139" s="348">
        <f t="shared" si="163"/>
        <v>41</v>
      </c>
      <c r="AS139" s="348">
        <f t="shared" si="164"/>
        <v>0</v>
      </c>
      <c r="AT139" s="463">
        <v>1</v>
      </c>
      <c r="AU139" s="808">
        <f t="shared" si="165"/>
        <v>176</v>
      </c>
      <c r="AV139" s="442"/>
      <c r="AW139" s="814">
        <v>0</v>
      </c>
      <c r="AX139" s="449">
        <v>0</v>
      </c>
      <c r="AY139" s="431"/>
      <c r="AZ139" s="431">
        <v>10</v>
      </c>
      <c r="BA139" s="431"/>
      <c r="BB139" s="442" t="s">
        <v>289</v>
      </c>
      <c r="BC139" s="810">
        <f t="shared" si="166"/>
        <v>1</v>
      </c>
      <c r="BD139" s="348">
        <f t="shared" si="167"/>
        <v>176</v>
      </c>
      <c r="BE139" s="351">
        <f t="shared" si="168"/>
        <v>0</v>
      </c>
      <c r="BF139" s="348">
        <f t="shared" si="169"/>
        <v>0</v>
      </c>
      <c r="BG139" s="351">
        <f t="shared" si="170"/>
        <v>1</v>
      </c>
      <c r="BH139" s="348">
        <f t="shared" si="171"/>
        <v>176</v>
      </c>
      <c r="BI139" s="447">
        <v>0</v>
      </c>
      <c r="BJ139" s="463">
        <v>1</v>
      </c>
      <c r="BK139" s="352">
        <f t="shared" si="184"/>
        <v>176</v>
      </c>
      <c r="BL139" s="353">
        <f t="shared" si="185"/>
        <v>0</v>
      </c>
      <c r="BM139" s="431">
        <v>2</v>
      </c>
      <c r="BN139" s="431" t="s">
        <v>290</v>
      </c>
      <c r="BO139" s="351">
        <f t="shared" si="172"/>
        <v>1</v>
      </c>
      <c r="BP139" s="348">
        <f t="shared" si="173"/>
        <v>176</v>
      </c>
      <c r="BQ139" s="353">
        <f t="shared" si="174"/>
        <v>0.33000000000000007</v>
      </c>
      <c r="BR139" s="458">
        <v>1</v>
      </c>
      <c r="BS139" s="348">
        <f t="shared" si="175"/>
        <v>176</v>
      </c>
      <c r="BT139" s="431">
        <v>3</v>
      </c>
      <c r="BU139" s="351">
        <f t="shared" si="176"/>
        <v>1</v>
      </c>
      <c r="BV139" s="353">
        <f t="shared" si="177"/>
        <v>0</v>
      </c>
      <c r="BW139" s="453">
        <v>1</v>
      </c>
      <c r="BX139" s="474"/>
      <c r="BY139" s="475">
        <v>41781</v>
      </c>
      <c r="BZ139" s="663" t="s">
        <v>821</v>
      </c>
      <c r="CA139" s="666">
        <v>0</v>
      </c>
      <c r="CB139" s="354" t="str">
        <f t="shared" si="178"/>
        <v>To be realised</v>
      </c>
      <c r="CC139" s="431">
        <v>28</v>
      </c>
      <c r="CD139" s="431">
        <v>2</v>
      </c>
      <c r="CE139" s="358">
        <f t="shared" si="179"/>
        <v>41</v>
      </c>
      <c r="CF139" s="359">
        <f t="shared" si="180"/>
        <v>0</v>
      </c>
      <c r="CG139" s="352">
        <f t="shared" si="181"/>
        <v>0</v>
      </c>
      <c r="CH139" s="654">
        <f t="shared" si="182"/>
        <v>19</v>
      </c>
      <c r="CI139" s="441"/>
      <c r="CJ139" s="453">
        <v>0</v>
      </c>
      <c r="CK139" s="372">
        <f t="shared" si="186"/>
        <v>0</v>
      </c>
      <c r="CL139" s="449">
        <v>1</v>
      </c>
      <c r="CM139" s="357" t="str">
        <f t="shared" si="183"/>
        <v>Excellent coverage</v>
      </c>
      <c r="CN139" s="431">
        <v>0</v>
      </c>
      <c r="CO139" s="753" t="s">
        <v>65</v>
      </c>
      <c r="CP139" s="482"/>
    </row>
    <row r="140" spans="2:94" s="36" customFormat="1" ht="30.75" customHeight="1" x14ac:dyDescent="0.2">
      <c r="B140" s="438" t="s">
        <v>131</v>
      </c>
      <c r="C140" s="430" t="s">
        <v>481</v>
      </c>
      <c r="D140" s="430" t="s">
        <v>257</v>
      </c>
      <c r="E140" s="430" t="s">
        <v>145</v>
      </c>
      <c r="F140" s="430">
        <v>97.399628000000007</v>
      </c>
      <c r="G140" s="430">
        <v>25.412313000000001</v>
      </c>
      <c r="H140" s="430" t="s">
        <v>442</v>
      </c>
      <c r="I140" s="430" t="s">
        <v>213</v>
      </c>
      <c r="J140" s="430" t="s">
        <v>812</v>
      </c>
      <c r="K140" s="430" t="s">
        <v>800</v>
      </c>
      <c r="L140" s="721">
        <v>97</v>
      </c>
      <c r="M140" s="721">
        <v>382</v>
      </c>
      <c r="N140" s="431">
        <v>398</v>
      </c>
      <c r="O140" s="660">
        <v>398</v>
      </c>
      <c r="P140" s="796" t="str">
        <f t="shared" si="150"/>
        <v>2. Medium</v>
      </c>
      <c r="Q140" s="797" t="s">
        <v>330</v>
      </c>
      <c r="R140" s="432" t="s">
        <v>234</v>
      </c>
      <c r="S140" s="793" t="s">
        <v>299</v>
      </c>
      <c r="T140" s="365" t="str">
        <f t="shared" si="151"/>
        <v>Not covered</v>
      </c>
      <c r="U140" s="437" t="s">
        <v>619</v>
      </c>
      <c r="V140" s="783" t="s">
        <v>254</v>
      </c>
      <c r="W140" s="363" t="str">
        <f t="shared" si="152"/>
        <v>Not documented</v>
      </c>
      <c r="X140" s="441">
        <v>0</v>
      </c>
      <c r="Y140" s="431">
        <v>0</v>
      </c>
      <c r="Z140" s="660" t="s">
        <v>19</v>
      </c>
      <c r="AA140" s="442" t="s">
        <v>19</v>
      </c>
      <c r="AB140" s="449">
        <v>2</v>
      </c>
      <c r="AC140" s="431">
        <v>1</v>
      </c>
      <c r="AD140" s="831">
        <v>3000</v>
      </c>
      <c r="AE140" s="454">
        <v>0</v>
      </c>
      <c r="AF140" s="463">
        <v>1</v>
      </c>
      <c r="AG140" s="455" t="s">
        <v>830</v>
      </c>
      <c r="AH140" s="368">
        <f t="shared" si="153"/>
        <v>1</v>
      </c>
      <c r="AI140" s="346">
        <f t="shared" si="154"/>
        <v>398</v>
      </c>
      <c r="AJ140" s="347">
        <f t="shared" si="155"/>
        <v>1</v>
      </c>
      <c r="AK140" s="348">
        <f t="shared" si="156"/>
        <v>398</v>
      </c>
      <c r="AL140" s="345">
        <f t="shared" si="157"/>
        <v>1</v>
      </c>
      <c r="AM140" s="348">
        <f t="shared" si="158"/>
        <v>398</v>
      </c>
      <c r="AN140" s="349" t="str">
        <f t="shared" si="159"/>
        <v>80-100%</v>
      </c>
      <c r="AO140" s="345">
        <f t="shared" si="160"/>
        <v>0</v>
      </c>
      <c r="AP140" s="350">
        <f t="shared" si="161"/>
        <v>0</v>
      </c>
      <c r="AQ140" s="348">
        <f t="shared" si="162"/>
        <v>0</v>
      </c>
      <c r="AR140" s="348">
        <f t="shared" si="163"/>
        <v>97</v>
      </c>
      <c r="AS140" s="348">
        <f t="shared" si="164"/>
        <v>0</v>
      </c>
      <c r="AT140" s="463">
        <v>1</v>
      </c>
      <c r="AU140" s="808">
        <f t="shared" si="165"/>
        <v>398</v>
      </c>
      <c r="AV140" s="442"/>
      <c r="AW140" s="814">
        <v>0</v>
      </c>
      <c r="AX140" s="449">
        <v>0</v>
      </c>
      <c r="AY140" s="431"/>
      <c r="AZ140" s="431">
        <v>15</v>
      </c>
      <c r="BA140" s="431" t="s">
        <v>889</v>
      </c>
      <c r="BB140" s="442" t="s">
        <v>89</v>
      </c>
      <c r="BC140" s="810">
        <f t="shared" si="166"/>
        <v>0.75376884422110557</v>
      </c>
      <c r="BD140" s="348">
        <f t="shared" si="167"/>
        <v>300</v>
      </c>
      <c r="BE140" s="351">
        <f t="shared" si="168"/>
        <v>0</v>
      </c>
      <c r="BF140" s="348">
        <f t="shared" si="169"/>
        <v>0</v>
      </c>
      <c r="BG140" s="351">
        <f t="shared" si="170"/>
        <v>0.75376884422110557</v>
      </c>
      <c r="BH140" s="348">
        <f t="shared" si="171"/>
        <v>300</v>
      </c>
      <c r="BI140" s="447">
        <v>0</v>
      </c>
      <c r="BJ140" s="463">
        <v>0.75</v>
      </c>
      <c r="BK140" s="352">
        <f t="shared" si="184"/>
        <v>298.5</v>
      </c>
      <c r="BL140" s="353">
        <f t="shared" si="185"/>
        <v>4.8999999999999986</v>
      </c>
      <c r="BM140" s="431">
        <v>2</v>
      </c>
      <c r="BN140" s="431" t="s">
        <v>89</v>
      </c>
      <c r="BO140" s="351">
        <f t="shared" si="172"/>
        <v>0.50251256281407031</v>
      </c>
      <c r="BP140" s="348">
        <f t="shared" si="173"/>
        <v>199.99999999999997</v>
      </c>
      <c r="BQ140" s="353">
        <f t="shared" si="174"/>
        <v>1.8199999999999998</v>
      </c>
      <c r="BR140" s="458">
        <v>0.5</v>
      </c>
      <c r="BS140" s="348">
        <f t="shared" si="175"/>
        <v>199</v>
      </c>
      <c r="BT140" s="431">
        <v>0</v>
      </c>
      <c r="BU140" s="351">
        <f t="shared" si="176"/>
        <v>0</v>
      </c>
      <c r="BV140" s="353">
        <f t="shared" si="177"/>
        <v>3.82</v>
      </c>
      <c r="BW140" s="453">
        <v>0</v>
      </c>
      <c r="BX140" s="474" t="s">
        <v>851</v>
      </c>
      <c r="BY140" s="475">
        <v>42173</v>
      </c>
      <c r="BZ140" s="663" t="s">
        <v>821</v>
      </c>
      <c r="CA140" s="666"/>
      <c r="CB140" s="354">
        <f t="shared" si="178"/>
        <v>42538</v>
      </c>
      <c r="CC140" s="431">
        <v>100</v>
      </c>
      <c r="CD140" s="431">
        <v>0</v>
      </c>
      <c r="CE140" s="358">
        <f t="shared" si="179"/>
        <v>0</v>
      </c>
      <c r="CF140" s="359">
        <f t="shared" si="180"/>
        <v>1</v>
      </c>
      <c r="CG140" s="352">
        <f t="shared" si="181"/>
        <v>398</v>
      </c>
      <c r="CH140" s="654">
        <f t="shared" si="182"/>
        <v>8</v>
      </c>
      <c r="CI140" s="441"/>
      <c r="CJ140" s="453">
        <v>0</v>
      </c>
      <c r="CK140" s="372">
        <f t="shared" si="186"/>
        <v>0</v>
      </c>
      <c r="CL140" s="449">
        <v>7</v>
      </c>
      <c r="CM140" s="357" t="str">
        <f t="shared" si="183"/>
        <v>Excellent coverage</v>
      </c>
      <c r="CN140" s="431">
        <v>0</v>
      </c>
      <c r="CO140" s="753" t="s">
        <v>292</v>
      </c>
      <c r="CP140" s="482"/>
    </row>
    <row r="141" spans="2:94" s="36" customFormat="1" ht="30.75" customHeight="1" x14ac:dyDescent="0.25">
      <c r="B141" s="438" t="s">
        <v>131</v>
      </c>
      <c r="C141" s="430" t="s">
        <v>482</v>
      </c>
      <c r="D141" s="430" t="s">
        <v>257</v>
      </c>
      <c r="E141" s="430" t="s">
        <v>146</v>
      </c>
      <c r="F141" s="430">
        <v>97.418004999999994</v>
      </c>
      <c r="G141" s="430">
        <v>25.423817</v>
      </c>
      <c r="H141" s="430" t="s">
        <v>442</v>
      </c>
      <c r="I141" s="430" t="s">
        <v>213</v>
      </c>
      <c r="J141" s="430" t="s">
        <v>812</v>
      </c>
      <c r="K141" s="430" t="s">
        <v>800</v>
      </c>
      <c r="L141" s="722">
        <v>28</v>
      </c>
      <c r="M141" s="722">
        <v>73</v>
      </c>
      <c r="N141" s="639">
        <v>112</v>
      </c>
      <c r="O141" s="789">
        <v>130</v>
      </c>
      <c r="P141" s="796" t="str">
        <f t="shared" si="150"/>
        <v>1. Small</v>
      </c>
      <c r="Q141" s="797" t="s">
        <v>938</v>
      </c>
      <c r="R141" s="434" t="s">
        <v>275</v>
      </c>
      <c r="S141" s="793" t="s">
        <v>299</v>
      </c>
      <c r="T141" s="365" t="str">
        <f t="shared" si="151"/>
        <v>Not covered</v>
      </c>
      <c r="U141" s="437" t="s">
        <v>619</v>
      </c>
      <c r="V141" s="783" t="s">
        <v>254</v>
      </c>
      <c r="W141" s="363" t="str">
        <f t="shared" si="152"/>
        <v>Not documented</v>
      </c>
      <c r="X141" s="443">
        <v>0</v>
      </c>
      <c r="Y141" s="433">
        <v>0</v>
      </c>
      <c r="Z141" s="659" t="s">
        <v>18</v>
      </c>
      <c r="AA141" s="444" t="s">
        <v>19</v>
      </c>
      <c r="AB141" s="443">
        <v>2</v>
      </c>
      <c r="AC141" s="433">
        <v>0</v>
      </c>
      <c r="AD141" s="832">
        <v>0</v>
      </c>
      <c r="AE141" s="452">
        <v>0</v>
      </c>
      <c r="AF141" s="461">
        <v>0</v>
      </c>
      <c r="AG141" s="453"/>
      <c r="AH141" s="368">
        <f t="shared" si="153"/>
        <v>1</v>
      </c>
      <c r="AI141" s="346">
        <f t="shared" si="154"/>
        <v>130</v>
      </c>
      <c r="AJ141" s="347">
        <f t="shared" si="155"/>
        <v>1</v>
      </c>
      <c r="AK141" s="348">
        <f t="shared" si="156"/>
        <v>130</v>
      </c>
      <c r="AL141" s="345">
        <f t="shared" si="157"/>
        <v>1</v>
      </c>
      <c r="AM141" s="348">
        <f t="shared" si="158"/>
        <v>130</v>
      </c>
      <c r="AN141" s="349" t="str">
        <f t="shared" si="159"/>
        <v>80-100%</v>
      </c>
      <c r="AO141" s="345">
        <f t="shared" si="160"/>
        <v>0</v>
      </c>
      <c r="AP141" s="350">
        <f t="shared" si="161"/>
        <v>0</v>
      </c>
      <c r="AQ141" s="348">
        <f t="shared" si="162"/>
        <v>0</v>
      </c>
      <c r="AR141" s="348">
        <f t="shared" si="163"/>
        <v>0</v>
      </c>
      <c r="AS141" s="348">
        <f t="shared" si="164"/>
        <v>0</v>
      </c>
      <c r="AT141" s="461">
        <v>1</v>
      </c>
      <c r="AU141" s="808">
        <f t="shared" si="165"/>
        <v>130</v>
      </c>
      <c r="AV141" s="442"/>
      <c r="AW141" s="815">
        <v>8</v>
      </c>
      <c r="AX141" s="443">
        <v>0</v>
      </c>
      <c r="AY141" s="433"/>
      <c r="AZ141" s="433">
        <v>7</v>
      </c>
      <c r="BA141" s="433" t="s">
        <v>891</v>
      </c>
      <c r="BB141" s="444" t="s">
        <v>289</v>
      </c>
      <c r="BC141" s="810">
        <f t="shared" si="166"/>
        <v>1</v>
      </c>
      <c r="BD141" s="348">
        <f t="shared" si="167"/>
        <v>130</v>
      </c>
      <c r="BE141" s="351">
        <f t="shared" si="168"/>
        <v>0</v>
      </c>
      <c r="BF141" s="348">
        <f t="shared" si="169"/>
        <v>0</v>
      </c>
      <c r="BG141" s="351">
        <f t="shared" si="170"/>
        <v>1</v>
      </c>
      <c r="BH141" s="348">
        <f t="shared" si="171"/>
        <v>130</v>
      </c>
      <c r="BI141" s="469">
        <v>0</v>
      </c>
      <c r="BJ141" s="461">
        <v>1</v>
      </c>
      <c r="BK141" s="352">
        <f t="shared" si="184"/>
        <v>130</v>
      </c>
      <c r="BL141" s="353">
        <f t="shared" si="185"/>
        <v>0</v>
      </c>
      <c r="BM141" s="470">
        <v>4</v>
      </c>
      <c r="BN141" s="470" t="s">
        <v>290</v>
      </c>
      <c r="BO141" s="351">
        <f t="shared" si="172"/>
        <v>1</v>
      </c>
      <c r="BP141" s="348">
        <f t="shared" si="173"/>
        <v>130</v>
      </c>
      <c r="BQ141" s="353">
        <f t="shared" si="174"/>
        <v>0</v>
      </c>
      <c r="BR141" s="471">
        <v>1</v>
      </c>
      <c r="BS141" s="348">
        <f t="shared" si="175"/>
        <v>130</v>
      </c>
      <c r="BT141" s="470">
        <v>3</v>
      </c>
      <c r="BU141" s="351">
        <f t="shared" si="176"/>
        <v>1</v>
      </c>
      <c r="BV141" s="353">
        <f t="shared" si="177"/>
        <v>0</v>
      </c>
      <c r="BW141" s="468">
        <v>1</v>
      </c>
      <c r="BX141" s="474"/>
      <c r="BY141" s="475">
        <v>42048</v>
      </c>
      <c r="BZ141" s="663" t="s">
        <v>821</v>
      </c>
      <c r="CA141" s="666"/>
      <c r="CB141" s="354" t="str">
        <f t="shared" si="178"/>
        <v>To be realised</v>
      </c>
      <c r="CC141" s="466">
        <v>28</v>
      </c>
      <c r="CD141" s="466">
        <v>7</v>
      </c>
      <c r="CE141" s="358">
        <f t="shared" si="179"/>
        <v>28</v>
      </c>
      <c r="CF141" s="359">
        <f t="shared" si="180"/>
        <v>0</v>
      </c>
      <c r="CG141" s="352">
        <f t="shared" si="181"/>
        <v>0</v>
      </c>
      <c r="CH141" s="654">
        <f t="shared" si="182"/>
        <v>5</v>
      </c>
      <c r="CI141" s="477"/>
      <c r="CJ141" s="453">
        <v>0</v>
      </c>
      <c r="CK141" s="372">
        <f t="shared" si="186"/>
        <v>0</v>
      </c>
      <c r="CL141" s="478">
        <v>2</v>
      </c>
      <c r="CM141" s="357" t="str">
        <f t="shared" si="183"/>
        <v>Excellent coverage</v>
      </c>
      <c r="CN141" s="431">
        <v>0</v>
      </c>
      <c r="CO141" s="752" t="s">
        <v>65</v>
      </c>
      <c r="CP141" s="484"/>
    </row>
    <row r="142" spans="2:94" s="36" customFormat="1" ht="30.75" customHeight="1" x14ac:dyDescent="0.2">
      <c r="B142" s="438" t="s">
        <v>131</v>
      </c>
      <c r="C142" s="430" t="s">
        <v>483</v>
      </c>
      <c r="D142" s="430" t="s">
        <v>257</v>
      </c>
      <c r="E142" s="430" t="s">
        <v>147</v>
      </c>
      <c r="F142" s="430">
        <v>97.419403000000003</v>
      </c>
      <c r="G142" s="430">
        <v>25.440928</v>
      </c>
      <c r="H142" s="430" t="s">
        <v>442</v>
      </c>
      <c r="I142" s="430" t="s">
        <v>213</v>
      </c>
      <c r="J142" s="430" t="s">
        <v>813</v>
      </c>
      <c r="K142" s="430" t="s">
        <v>800</v>
      </c>
      <c r="L142" s="721">
        <v>87</v>
      </c>
      <c r="M142" s="721">
        <v>461</v>
      </c>
      <c r="N142" s="431">
        <v>418</v>
      </c>
      <c r="O142" s="660">
        <v>418</v>
      </c>
      <c r="P142" s="796" t="str">
        <f t="shared" si="150"/>
        <v>2. Medium</v>
      </c>
      <c r="Q142" s="797" t="s">
        <v>330</v>
      </c>
      <c r="R142" s="432" t="s">
        <v>234</v>
      </c>
      <c r="S142" s="793" t="s">
        <v>299</v>
      </c>
      <c r="T142" s="365" t="str">
        <f t="shared" si="151"/>
        <v>Not covered</v>
      </c>
      <c r="U142" s="437" t="s">
        <v>619</v>
      </c>
      <c r="V142" s="783" t="s">
        <v>254</v>
      </c>
      <c r="W142" s="363" t="str">
        <f t="shared" si="152"/>
        <v>Not documented</v>
      </c>
      <c r="X142" s="441">
        <v>0</v>
      </c>
      <c r="Y142" s="431">
        <v>0</v>
      </c>
      <c r="Z142" s="660" t="s">
        <v>19</v>
      </c>
      <c r="AA142" s="442" t="s">
        <v>19</v>
      </c>
      <c r="AB142" s="449">
        <v>2</v>
      </c>
      <c r="AC142" s="431">
        <v>0</v>
      </c>
      <c r="AD142" s="831">
        <v>2000</v>
      </c>
      <c r="AE142" s="454">
        <v>0</v>
      </c>
      <c r="AF142" s="463">
        <v>1</v>
      </c>
      <c r="AG142" s="455" t="s">
        <v>830</v>
      </c>
      <c r="AH142" s="368">
        <f t="shared" si="153"/>
        <v>1</v>
      </c>
      <c r="AI142" s="346">
        <f t="shared" si="154"/>
        <v>418</v>
      </c>
      <c r="AJ142" s="347">
        <f t="shared" si="155"/>
        <v>1</v>
      </c>
      <c r="AK142" s="348">
        <f t="shared" si="156"/>
        <v>418</v>
      </c>
      <c r="AL142" s="345">
        <f t="shared" si="157"/>
        <v>1</v>
      </c>
      <c r="AM142" s="348">
        <f t="shared" si="158"/>
        <v>418</v>
      </c>
      <c r="AN142" s="349" t="str">
        <f t="shared" si="159"/>
        <v>80-100%</v>
      </c>
      <c r="AO142" s="345">
        <f t="shared" si="160"/>
        <v>0</v>
      </c>
      <c r="AP142" s="350">
        <f t="shared" si="161"/>
        <v>0</v>
      </c>
      <c r="AQ142" s="348">
        <f t="shared" si="162"/>
        <v>0</v>
      </c>
      <c r="AR142" s="348">
        <f t="shared" si="163"/>
        <v>87</v>
      </c>
      <c r="AS142" s="348">
        <f t="shared" si="164"/>
        <v>0</v>
      </c>
      <c r="AT142" s="463">
        <v>1</v>
      </c>
      <c r="AU142" s="808">
        <f t="shared" si="165"/>
        <v>418</v>
      </c>
      <c r="AV142" s="442"/>
      <c r="AW142" s="814">
        <v>2</v>
      </c>
      <c r="AX142" s="449">
        <v>0</v>
      </c>
      <c r="AY142" s="431">
        <v>0</v>
      </c>
      <c r="AZ142" s="431">
        <v>16</v>
      </c>
      <c r="BA142" s="431" t="s">
        <v>888</v>
      </c>
      <c r="BB142" s="442" t="s">
        <v>290</v>
      </c>
      <c r="BC142" s="810">
        <f t="shared" si="166"/>
        <v>0.76555023923444976</v>
      </c>
      <c r="BD142" s="348">
        <f t="shared" si="167"/>
        <v>320</v>
      </c>
      <c r="BE142" s="351">
        <f t="shared" si="168"/>
        <v>0</v>
      </c>
      <c r="BF142" s="348">
        <f t="shared" si="169"/>
        <v>0</v>
      </c>
      <c r="BG142" s="351">
        <f t="shared" si="170"/>
        <v>0.76555023923444976</v>
      </c>
      <c r="BH142" s="348">
        <f t="shared" si="171"/>
        <v>320</v>
      </c>
      <c r="BI142" s="447">
        <v>0</v>
      </c>
      <c r="BJ142" s="463">
        <v>0.77</v>
      </c>
      <c r="BK142" s="352">
        <f t="shared" si="184"/>
        <v>321.86</v>
      </c>
      <c r="BL142" s="353">
        <f t="shared" si="185"/>
        <v>4.8999999999999986</v>
      </c>
      <c r="BM142" s="431">
        <v>2</v>
      </c>
      <c r="BN142" s="431" t="s">
        <v>89</v>
      </c>
      <c r="BO142" s="351">
        <f t="shared" si="172"/>
        <v>0.4784688995215311</v>
      </c>
      <c r="BP142" s="348">
        <f t="shared" si="173"/>
        <v>200</v>
      </c>
      <c r="BQ142" s="353">
        <f t="shared" si="174"/>
        <v>2.6100000000000003</v>
      </c>
      <c r="BR142" s="458">
        <v>0.48</v>
      </c>
      <c r="BS142" s="348">
        <f t="shared" si="175"/>
        <v>200.64</v>
      </c>
      <c r="BT142" s="431">
        <v>0</v>
      </c>
      <c r="BU142" s="351">
        <f t="shared" si="176"/>
        <v>0</v>
      </c>
      <c r="BV142" s="353">
        <f t="shared" si="177"/>
        <v>4.6100000000000003</v>
      </c>
      <c r="BW142" s="451">
        <v>0</v>
      </c>
      <c r="BX142" s="473" t="s">
        <v>850</v>
      </c>
      <c r="BY142" s="475">
        <v>42173</v>
      </c>
      <c r="BZ142" s="663" t="s">
        <v>821</v>
      </c>
      <c r="CA142" s="666"/>
      <c r="CB142" s="354">
        <f t="shared" si="178"/>
        <v>42538</v>
      </c>
      <c r="CC142" s="431">
        <v>83</v>
      </c>
      <c r="CD142" s="431">
        <v>0</v>
      </c>
      <c r="CE142" s="358">
        <f t="shared" si="179"/>
        <v>4</v>
      </c>
      <c r="CF142" s="359">
        <f t="shared" si="180"/>
        <v>0.95402298850574707</v>
      </c>
      <c r="CG142" s="352">
        <f t="shared" si="181"/>
        <v>398.78160919540227</v>
      </c>
      <c r="CH142" s="654">
        <f t="shared" si="182"/>
        <v>8</v>
      </c>
      <c r="CI142" s="441"/>
      <c r="CJ142" s="453">
        <v>0</v>
      </c>
      <c r="CK142" s="372">
        <f t="shared" si="186"/>
        <v>0</v>
      </c>
      <c r="CL142" s="449"/>
      <c r="CM142" s="357" t="str">
        <f t="shared" si="183"/>
        <v>No coverage</v>
      </c>
      <c r="CN142" s="431">
        <v>0</v>
      </c>
      <c r="CO142" s="753" t="s">
        <v>292</v>
      </c>
      <c r="CP142" s="482"/>
    </row>
    <row r="143" spans="2:94" s="36" customFormat="1" ht="30.75" customHeight="1" x14ac:dyDescent="0.2">
      <c r="B143" s="438" t="s">
        <v>131</v>
      </c>
      <c r="C143" s="430" t="s">
        <v>497</v>
      </c>
      <c r="D143" s="430" t="s">
        <v>257</v>
      </c>
      <c r="E143" s="430" t="s">
        <v>603</v>
      </c>
      <c r="F143" s="430">
        <v>97.387370000000004</v>
      </c>
      <c r="G143" s="430">
        <v>25.42595</v>
      </c>
      <c r="H143" s="430" t="s">
        <v>442</v>
      </c>
      <c r="I143" s="430" t="s">
        <v>213</v>
      </c>
      <c r="J143" s="430" t="s">
        <v>812</v>
      </c>
      <c r="K143" s="430" t="s">
        <v>800</v>
      </c>
      <c r="L143" s="721">
        <v>65</v>
      </c>
      <c r="M143" s="721">
        <v>335</v>
      </c>
      <c r="N143" s="431">
        <v>311</v>
      </c>
      <c r="O143" s="660">
        <v>335</v>
      </c>
      <c r="P143" s="796" t="str">
        <f t="shared" si="150"/>
        <v>2. Medium</v>
      </c>
      <c r="Q143" s="797" t="s">
        <v>938</v>
      </c>
      <c r="R143" s="432" t="s">
        <v>275</v>
      </c>
      <c r="S143" s="793" t="s">
        <v>299</v>
      </c>
      <c r="T143" s="365" t="str">
        <f t="shared" si="151"/>
        <v>Not covered</v>
      </c>
      <c r="U143" s="437" t="s">
        <v>619</v>
      </c>
      <c r="V143" s="783" t="s">
        <v>254</v>
      </c>
      <c r="W143" s="363" t="str">
        <f t="shared" si="152"/>
        <v>Not documented</v>
      </c>
      <c r="X143" s="441">
        <v>0</v>
      </c>
      <c r="Y143" s="431">
        <v>0</v>
      </c>
      <c r="Z143" s="660" t="s">
        <v>18</v>
      </c>
      <c r="AA143" s="442" t="s">
        <v>19</v>
      </c>
      <c r="AB143" s="449">
        <v>1</v>
      </c>
      <c r="AC143" s="431">
        <v>2</v>
      </c>
      <c r="AD143" s="831">
        <v>0</v>
      </c>
      <c r="AE143" s="454">
        <v>0</v>
      </c>
      <c r="AF143" s="463">
        <v>0</v>
      </c>
      <c r="AG143" s="455"/>
      <c r="AH143" s="368">
        <f t="shared" si="153"/>
        <v>1</v>
      </c>
      <c r="AI143" s="346">
        <f t="shared" si="154"/>
        <v>335</v>
      </c>
      <c r="AJ143" s="347">
        <f t="shared" si="155"/>
        <v>1</v>
      </c>
      <c r="AK143" s="348">
        <f t="shared" si="156"/>
        <v>335</v>
      </c>
      <c r="AL143" s="345">
        <f t="shared" si="157"/>
        <v>1</v>
      </c>
      <c r="AM143" s="348">
        <f t="shared" si="158"/>
        <v>335</v>
      </c>
      <c r="AN143" s="349" t="str">
        <f t="shared" si="159"/>
        <v>80-100%</v>
      </c>
      <c r="AO143" s="345">
        <f t="shared" si="160"/>
        <v>0</v>
      </c>
      <c r="AP143" s="350">
        <f t="shared" si="161"/>
        <v>0</v>
      </c>
      <c r="AQ143" s="348">
        <f t="shared" si="162"/>
        <v>0</v>
      </c>
      <c r="AR143" s="348">
        <f t="shared" si="163"/>
        <v>0</v>
      </c>
      <c r="AS143" s="348">
        <f t="shared" si="164"/>
        <v>0</v>
      </c>
      <c r="AT143" s="463">
        <v>1</v>
      </c>
      <c r="AU143" s="808">
        <f t="shared" si="165"/>
        <v>335</v>
      </c>
      <c r="AV143" s="442"/>
      <c r="AW143" s="814">
        <v>16</v>
      </c>
      <c r="AX143" s="449">
        <v>2</v>
      </c>
      <c r="AY143" s="431"/>
      <c r="AZ143" s="431">
        <v>14</v>
      </c>
      <c r="BA143" s="431" t="s">
        <v>888</v>
      </c>
      <c r="BB143" s="442" t="s">
        <v>289</v>
      </c>
      <c r="BC143" s="810">
        <f t="shared" si="166"/>
        <v>0.95522388059701491</v>
      </c>
      <c r="BD143" s="348">
        <f t="shared" si="167"/>
        <v>320</v>
      </c>
      <c r="BE143" s="351">
        <f t="shared" si="168"/>
        <v>0.11940298507462688</v>
      </c>
      <c r="BF143" s="348">
        <f t="shared" si="169"/>
        <v>40.000000000000007</v>
      </c>
      <c r="BG143" s="351">
        <f t="shared" si="170"/>
        <v>0.83582089552238803</v>
      </c>
      <c r="BH143" s="348">
        <f t="shared" si="171"/>
        <v>280</v>
      </c>
      <c r="BI143" s="447">
        <v>0</v>
      </c>
      <c r="BJ143" s="463">
        <v>1</v>
      </c>
      <c r="BK143" s="352">
        <f t="shared" si="184"/>
        <v>335</v>
      </c>
      <c r="BL143" s="353">
        <f t="shared" si="185"/>
        <v>2.75</v>
      </c>
      <c r="BM143" s="431">
        <v>4</v>
      </c>
      <c r="BN143" s="431" t="s">
        <v>89</v>
      </c>
      <c r="BO143" s="351">
        <f t="shared" si="172"/>
        <v>1</v>
      </c>
      <c r="BP143" s="348">
        <f t="shared" si="173"/>
        <v>335</v>
      </c>
      <c r="BQ143" s="353">
        <f t="shared" si="174"/>
        <v>0</v>
      </c>
      <c r="BR143" s="458">
        <v>1</v>
      </c>
      <c r="BS143" s="348">
        <f t="shared" si="175"/>
        <v>335</v>
      </c>
      <c r="BT143" s="431">
        <v>2</v>
      </c>
      <c r="BU143" s="351">
        <f t="shared" si="176"/>
        <v>0.59701492537313428</v>
      </c>
      <c r="BV143" s="353">
        <f t="shared" si="177"/>
        <v>1.35</v>
      </c>
      <c r="BW143" s="451">
        <v>1</v>
      </c>
      <c r="BX143" s="473"/>
      <c r="BY143" s="475">
        <v>42048</v>
      </c>
      <c r="BZ143" s="663" t="s">
        <v>821</v>
      </c>
      <c r="CA143" s="666"/>
      <c r="CB143" s="354" t="str">
        <f t="shared" si="178"/>
        <v>To be realised</v>
      </c>
      <c r="CC143" s="431">
        <v>65</v>
      </c>
      <c r="CD143" s="431">
        <v>7</v>
      </c>
      <c r="CE143" s="358">
        <f t="shared" si="179"/>
        <v>65</v>
      </c>
      <c r="CF143" s="359">
        <f t="shared" si="180"/>
        <v>0</v>
      </c>
      <c r="CG143" s="352">
        <f t="shared" si="181"/>
        <v>0</v>
      </c>
      <c r="CH143" s="654">
        <f t="shared" si="182"/>
        <v>5</v>
      </c>
      <c r="CI143" s="441"/>
      <c r="CJ143" s="453">
        <v>0</v>
      </c>
      <c r="CK143" s="372">
        <f t="shared" si="186"/>
        <v>0</v>
      </c>
      <c r="CL143" s="449">
        <v>2</v>
      </c>
      <c r="CM143" s="357" t="str">
        <f t="shared" si="183"/>
        <v>Excellent coverage</v>
      </c>
      <c r="CN143" s="431">
        <v>0</v>
      </c>
      <c r="CO143" s="753" t="s">
        <v>65</v>
      </c>
      <c r="CP143" s="482"/>
    </row>
    <row r="144" spans="2:94" s="36" customFormat="1" ht="30.75" customHeight="1" x14ac:dyDescent="0.2">
      <c r="B144" s="438" t="s">
        <v>131</v>
      </c>
      <c r="C144" s="430" t="s">
        <v>476</v>
      </c>
      <c r="D144" s="430" t="s">
        <v>257</v>
      </c>
      <c r="E144" s="430" t="s">
        <v>148</v>
      </c>
      <c r="F144" s="430">
        <v>97.386718999999999</v>
      </c>
      <c r="G144" s="430">
        <v>25.415482000000001</v>
      </c>
      <c r="H144" s="430" t="s">
        <v>442</v>
      </c>
      <c r="I144" s="430" t="s">
        <v>213</v>
      </c>
      <c r="J144" s="430" t="s">
        <v>812</v>
      </c>
      <c r="K144" s="430" t="s">
        <v>800</v>
      </c>
      <c r="L144" s="721">
        <v>69</v>
      </c>
      <c r="M144" s="721">
        <v>349</v>
      </c>
      <c r="N144" s="431">
        <v>316</v>
      </c>
      <c r="O144" s="660">
        <v>316</v>
      </c>
      <c r="P144" s="796" t="str">
        <f t="shared" si="150"/>
        <v>2. Medium</v>
      </c>
      <c r="Q144" s="797" t="s">
        <v>330</v>
      </c>
      <c r="R144" s="432" t="s">
        <v>234</v>
      </c>
      <c r="S144" s="793" t="s">
        <v>299</v>
      </c>
      <c r="T144" s="365" t="str">
        <f t="shared" si="151"/>
        <v>Not covered</v>
      </c>
      <c r="U144" s="437" t="s">
        <v>619</v>
      </c>
      <c r="V144" s="783" t="s">
        <v>254</v>
      </c>
      <c r="W144" s="363" t="str">
        <f t="shared" si="152"/>
        <v>Not documented</v>
      </c>
      <c r="X144" s="441">
        <v>0</v>
      </c>
      <c r="Y144" s="431">
        <v>0</v>
      </c>
      <c r="Z144" s="660" t="s">
        <v>19</v>
      </c>
      <c r="AA144" s="442" t="s">
        <v>19</v>
      </c>
      <c r="AB144" s="441">
        <v>0</v>
      </c>
      <c r="AC144" s="447">
        <v>3</v>
      </c>
      <c r="AD144" s="831">
        <v>1000</v>
      </c>
      <c r="AE144" s="454">
        <v>0</v>
      </c>
      <c r="AF144" s="463">
        <v>1</v>
      </c>
      <c r="AG144" s="455" t="s">
        <v>830</v>
      </c>
      <c r="AH144" s="368">
        <f t="shared" si="153"/>
        <v>1</v>
      </c>
      <c r="AI144" s="346">
        <f t="shared" si="154"/>
        <v>316</v>
      </c>
      <c r="AJ144" s="347">
        <f t="shared" si="155"/>
        <v>1</v>
      </c>
      <c r="AK144" s="348">
        <f t="shared" si="156"/>
        <v>316</v>
      </c>
      <c r="AL144" s="345">
        <f t="shared" si="157"/>
        <v>1</v>
      </c>
      <c r="AM144" s="348">
        <f t="shared" si="158"/>
        <v>316</v>
      </c>
      <c r="AN144" s="349" t="str">
        <f t="shared" si="159"/>
        <v>80-100%</v>
      </c>
      <c r="AO144" s="345">
        <f t="shared" si="160"/>
        <v>0</v>
      </c>
      <c r="AP144" s="350">
        <f t="shared" si="161"/>
        <v>0</v>
      </c>
      <c r="AQ144" s="348">
        <f t="shared" si="162"/>
        <v>0</v>
      </c>
      <c r="AR144" s="348">
        <f t="shared" si="163"/>
        <v>69</v>
      </c>
      <c r="AS144" s="348">
        <f t="shared" si="164"/>
        <v>0</v>
      </c>
      <c r="AT144" s="458">
        <v>1</v>
      </c>
      <c r="AU144" s="808">
        <f t="shared" si="165"/>
        <v>316</v>
      </c>
      <c r="AV144" s="448"/>
      <c r="AW144" s="814">
        <v>70</v>
      </c>
      <c r="AX144" s="449">
        <v>0</v>
      </c>
      <c r="AY144" s="431"/>
      <c r="AZ144" s="431">
        <v>11</v>
      </c>
      <c r="BA144" s="431"/>
      <c r="BB144" s="442" t="s">
        <v>290</v>
      </c>
      <c r="BC144" s="810">
        <f t="shared" si="166"/>
        <v>0.69620253164556967</v>
      </c>
      <c r="BD144" s="348">
        <f t="shared" si="167"/>
        <v>220.00000000000003</v>
      </c>
      <c r="BE144" s="351">
        <f t="shared" si="168"/>
        <v>0</v>
      </c>
      <c r="BF144" s="348">
        <f t="shared" si="169"/>
        <v>0</v>
      </c>
      <c r="BG144" s="351">
        <f t="shared" si="170"/>
        <v>0.69620253164556967</v>
      </c>
      <c r="BH144" s="348">
        <f t="shared" si="171"/>
        <v>220.00000000000003</v>
      </c>
      <c r="BI144" s="447">
        <v>0</v>
      </c>
      <c r="BJ144" s="463">
        <v>0.7</v>
      </c>
      <c r="BK144" s="352">
        <f t="shared" si="184"/>
        <v>221.2</v>
      </c>
      <c r="BL144" s="353">
        <f t="shared" si="185"/>
        <v>4.8000000000000007</v>
      </c>
      <c r="BM144" s="431">
        <v>2</v>
      </c>
      <c r="BN144" s="431" t="s">
        <v>291</v>
      </c>
      <c r="BO144" s="351">
        <f t="shared" si="172"/>
        <v>0.63291139240506333</v>
      </c>
      <c r="BP144" s="348">
        <f t="shared" si="173"/>
        <v>200</v>
      </c>
      <c r="BQ144" s="353">
        <f t="shared" si="174"/>
        <v>1.4900000000000002</v>
      </c>
      <c r="BR144" s="463">
        <v>0.63</v>
      </c>
      <c r="BS144" s="348">
        <f t="shared" si="175"/>
        <v>199.08</v>
      </c>
      <c r="BT144" s="431">
        <v>0</v>
      </c>
      <c r="BU144" s="351">
        <f t="shared" si="176"/>
        <v>0</v>
      </c>
      <c r="BV144" s="353">
        <f t="shared" si="177"/>
        <v>3.49</v>
      </c>
      <c r="BW144" s="451">
        <v>0</v>
      </c>
      <c r="BX144" s="473" t="s">
        <v>852</v>
      </c>
      <c r="BY144" s="475">
        <v>42173</v>
      </c>
      <c r="BZ144" s="663" t="s">
        <v>821</v>
      </c>
      <c r="CA144" s="666"/>
      <c r="CB144" s="354">
        <f t="shared" si="178"/>
        <v>42538</v>
      </c>
      <c r="CC144" s="431">
        <v>87</v>
      </c>
      <c r="CD144" s="431">
        <v>0</v>
      </c>
      <c r="CE144" s="355">
        <f t="shared" si="179"/>
        <v>0</v>
      </c>
      <c r="CF144" s="356">
        <f t="shared" si="180"/>
        <v>1</v>
      </c>
      <c r="CG144" s="348">
        <f t="shared" si="181"/>
        <v>316</v>
      </c>
      <c r="CH144" s="370">
        <f t="shared" si="182"/>
        <v>8</v>
      </c>
      <c r="CI144" s="441"/>
      <c r="CJ144" s="453">
        <v>0</v>
      </c>
      <c r="CK144" s="372">
        <f t="shared" si="186"/>
        <v>0</v>
      </c>
      <c r="CL144" s="441">
        <v>3</v>
      </c>
      <c r="CM144" s="357" t="str">
        <f t="shared" si="183"/>
        <v>Excellent coverage</v>
      </c>
      <c r="CN144" s="447">
        <v>0</v>
      </c>
      <c r="CO144" s="753" t="s">
        <v>292</v>
      </c>
      <c r="CP144" s="482"/>
    </row>
    <row r="145" spans="2:94" s="36" customFormat="1" ht="30.75" customHeight="1" x14ac:dyDescent="0.2">
      <c r="B145" s="438" t="s">
        <v>131</v>
      </c>
      <c r="C145" s="430" t="s">
        <v>479</v>
      </c>
      <c r="D145" s="430" t="s">
        <v>257</v>
      </c>
      <c r="E145" s="430" t="s">
        <v>150</v>
      </c>
      <c r="F145" s="430">
        <v>97.379272</v>
      </c>
      <c r="G145" s="430">
        <v>25.401074999999999</v>
      </c>
      <c r="H145" s="430" t="s">
        <v>442</v>
      </c>
      <c r="I145" s="430" t="s">
        <v>213</v>
      </c>
      <c r="J145" s="430" t="s">
        <v>812</v>
      </c>
      <c r="K145" s="430" t="s">
        <v>800</v>
      </c>
      <c r="L145" s="721">
        <v>12</v>
      </c>
      <c r="M145" s="721">
        <v>60</v>
      </c>
      <c r="N145" s="431">
        <v>39</v>
      </c>
      <c r="O145" s="660">
        <v>55</v>
      </c>
      <c r="P145" s="796" t="str">
        <f t="shared" si="150"/>
        <v>1. Small</v>
      </c>
      <c r="Q145" s="797" t="s">
        <v>938</v>
      </c>
      <c r="R145" s="432" t="s">
        <v>275</v>
      </c>
      <c r="S145" s="793" t="s">
        <v>299</v>
      </c>
      <c r="T145" s="365" t="str">
        <f t="shared" si="151"/>
        <v>Not covered</v>
      </c>
      <c r="U145" s="437" t="s">
        <v>619</v>
      </c>
      <c r="V145" s="783" t="s">
        <v>254</v>
      </c>
      <c r="W145" s="363" t="str">
        <f t="shared" si="152"/>
        <v>Not documented</v>
      </c>
      <c r="X145" s="441">
        <v>0</v>
      </c>
      <c r="Y145" s="431">
        <v>0</v>
      </c>
      <c r="Z145" s="660" t="s">
        <v>18</v>
      </c>
      <c r="AA145" s="442" t="s">
        <v>19</v>
      </c>
      <c r="AB145" s="441">
        <v>0</v>
      </c>
      <c r="AC145" s="447">
        <v>1</v>
      </c>
      <c r="AD145" s="831">
        <v>3600</v>
      </c>
      <c r="AE145" s="454">
        <v>0</v>
      </c>
      <c r="AF145" s="463">
        <v>0</v>
      </c>
      <c r="AG145" s="455"/>
      <c r="AH145" s="368">
        <f t="shared" si="153"/>
        <v>1</v>
      </c>
      <c r="AI145" s="346">
        <f t="shared" si="154"/>
        <v>55</v>
      </c>
      <c r="AJ145" s="347">
        <f t="shared" si="155"/>
        <v>1</v>
      </c>
      <c r="AK145" s="348">
        <f t="shared" si="156"/>
        <v>55</v>
      </c>
      <c r="AL145" s="345">
        <f t="shared" si="157"/>
        <v>1</v>
      </c>
      <c r="AM145" s="348">
        <f t="shared" si="158"/>
        <v>55</v>
      </c>
      <c r="AN145" s="349" t="str">
        <f t="shared" si="159"/>
        <v>80-100%</v>
      </c>
      <c r="AO145" s="345">
        <f t="shared" si="160"/>
        <v>0</v>
      </c>
      <c r="AP145" s="350">
        <f t="shared" si="161"/>
        <v>0</v>
      </c>
      <c r="AQ145" s="348">
        <f t="shared" si="162"/>
        <v>0</v>
      </c>
      <c r="AR145" s="348">
        <f t="shared" si="163"/>
        <v>0</v>
      </c>
      <c r="AS145" s="348">
        <f t="shared" si="164"/>
        <v>0</v>
      </c>
      <c r="AT145" s="458">
        <v>1</v>
      </c>
      <c r="AU145" s="808">
        <f t="shared" si="165"/>
        <v>55</v>
      </c>
      <c r="AV145" s="448"/>
      <c r="AW145" s="814">
        <v>0</v>
      </c>
      <c r="AX145" s="449">
        <v>0</v>
      </c>
      <c r="AY145" s="431"/>
      <c r="AZ145" s="431">
        <v>3</v>
      </c>
      <c r="BA145" s="431" t="s">
        <v>888</v>
      </c>
      <c r="BB145" s="442" t="s">
        <v>289</v>
      </c>
      <c r="BC145" s="810">
        <f t="shared" si="166"/>
        <v>1</v>
      </c>
      <c r="BD145" s="348">
        <f t="shared" si="167"/>
        <v>55</v>
      </c>
      <c r="BE145" s="351">
        <f t="shared" si="168"/>
        <v>0</v>
      </c>
      <c r="BF145" s="348">
        <f t="shared" si="169"/>
        <v>0</v>
      </c>
      <c r="BG145" s="351">
        <f t="shared" si="170"/>
        <v>1</v>
      </c>
      <c r="BH145" s="348">
        <f t="shared" si="171"/>
        <v>55</v>
      </c>
      <c r="BI145" s="447">
        <v>0</v>
      </c>
      <c r="BJ145" s="463">
        <v>1</v>
      </c>
      <c r="BK145" s="352">
        <f t="shared" si="184"/>
        <v>55</v>
      </c>
      <c r="BL145" s="353">
        <f t="shared" si="185"/>
        <v>0</v>
      </c>
      <c r="BM145" s="431">
        <v>2</v>
      </c>
      <c r="BN145" s="431" t="s">
        <v>290</v>
      </c>
      <c r="BO145" s="351">
        <f t="shared" si="172"/>
        <v>1</v>
      </c>
      <c r="BP145" s="348">
        <f t="shared" si="173"/>
        <v>55</v>
      </c>
      <c r="BQ145" s="353">
        <f t="shared" si="174"/>
        <v>0</v>
      </c>
      <c r="BR145" s="463">
        <v>1</v>
      </c>
      <c r="BS145" s="348">
        <f t="shared" si="175"/>
        <v>55</v>
      </c>
      <c r="BT145" s="431">
        <v>1</v>
      </c>
      <c r="BU145" s="351">
        <f t="shared" si="176"/>
        <v>1</v>
      </c>
      <c r="BV145" s="353">
        <f t="shared" si="177"/>
        <v>0</v>
      </c>
      <c r="BW145" s="451">
        <v>1</v>
      </c>
      <c r="BX145" s="473"/>
      <c r="BY145" s="475">
        <v>42048</v>
      </c>
      <c r="BZ145" s="663" t="s">
        <v>821</v>
      </c>
      <c r="CA145" s="666"/>
      <c r="CB145" s="354" t="str">
        <f t="shared" si="178"/>
        <v>To be realised</v>
      </c>
      <c r="CC145" s="431">
        <v>12</v>
      </c>
      <c r="CD145" s="431">
        <v>7</v>
      </c>
      <c r="CE145" s="355">
        <f t="shared" si="179"/>
        <v>12</v>
      </c>
      <c r="CF145" s="356">
        <f t="shared" si="180"/>
        <v>0</v>
      </c>
      <c r="CG145" s="348">
        <f t="shared" si="181"/>
        <v>0</v>
      </c>
      <c r="CH145" s="370">
        <f t="shared" si="182"/>
        <v>5</v>
      </c>
      <c r="CI145" s="441"/>
      <c r="CJ145" s="453">
        <v>0</v>
      </c>
      <c r="CK145" s="372">
        <f t="shared" si="186"/>
        <v>0</v>
      </c>
      <c r="CL145" s="441">
        <v>1</v>
      </c>
      <c r="CM145" s="357" t="str">
        <f t="shared" si="183"/>
        <v>Excellent coverage</v>
      </c>
      <c r="CN145" s="447">
        <v>0</v>
      </c>
      <c r="CO145" s="753" t="s">
        <v>65</v>
      </c>
      <c r="CP145" s="482"/>
    </row>
    <row r="146" spans="2:94" s="36" customFormat="1" ht="30.75" customHeight="1" x14ac:dyDescent="0.2">
      <c r="B146" s="438" t="s">
        <v>131</v>
      </c>
      <c r="C146" s="430" t="s">
        <v>478</v>
      </c>
      <c r="D146" s="430" t="s">
        <v>257</v>
      </c>
      <c r="E146" s="430" t="s">
        <v>151</v>
      </c>
      <c r="F146" s="430">
        <v>97.377662999999998</v>
      </c>
      <c r="G146" s="430">
        <v>25.404752999999999</v>
      </c>
      <c r="H146" s="430" t="s">
        <v>442</v>
      </c>
      <c r="I146" s="430" t="s">
        <v>213</v>
      </c>
      <c r="J146" s="430" t="s">
        <v>812</v>
      </c>
      <c r="K146" s="430" t="s">
        <v>800</v>
      </c>
      <c r="L146" s="721">
        <v>32</v>
      </c>
      <c r="M146" s="721">
        <v>146</v>
      </c>
      <c r="N146" s="431">
        <v>151</v>
      </c>
      <c r="O146" s="660">
        <v>151</v>
      </c>
      <c r="P146" s="796" t="str">
        <f t="shared" si="150"/>
        <v>1. Small</v>
      </c>
      <c r="Q146" s="797" t="s">
        <v>330</v>
      </c>
      <c r="R146" s="432" t="s">
        <v>234</v>
      </c>
      <c r="S146" s="793" t="s">
        <v>299</v>
      </c>
      <c r="T146" s="365" t="str">
        <f t="shared" si="151"/>
        <v>Not covered</v>
      </c>
      <c r="U146" s="437" t="s">
        <v>619</v>
      </c>
      <c r="V146" s="783" t="s">
        <v>254</v>
      </c>
      <c r="W146" s="363" t="str">
        <f t="shared" si="152"/>
        <v>Not documented</v>
      </c>
      <c r="X146" s="441">
        <v>0</v>
      </c>
      <c r="Y146" s="431">
        <v>0</v>
      </c>
      <c r="Z146" s="660" t="s">
        <v>19</v>
      </c>
      <c r="AA146" s="442" t="s">
        <v>19</v>
      </c>
      <c r="AB146" s="441">
        <v>0</v>
      </c>
      <c r="AC146" s="447">
        <v>2</v>
      </c>
      <c r="AD146" s="831">
        <v>2000</v>
      </c>
      <c r="AE146" s="454">
        <v>0</v>
      </c>
      <c r="AF146" s="463">
        <v>1</v>
      </c>
      <c r="AG146" s="455" t="s">
        <v>830</v>
      </c>
      <c r="AH146" s="368">
        <f t="shared" si="153"/>
        <v>1</v>
      </c>
      <c r="AI146" s="346">
        <f t="shared" si="154"/>
        <v>151</v>
      </c>
      <c r="AJ146" s="347">
        <f t="shared" si="155"/>
        <v>1</v>
      </c>
      <c r="AK146" s="348">
        <f t="shared" si="156"/>
        <v>151</v>
      </c>
      <c r="AL146" s="345">
        <f t="shared" si="157"/>
        <v>1</v>
      </c>
      <c r="AM146" s="348">
        <f t="shared" si="158"/>
        <v>151</v>
      </c>
      <c r="AN146" s="349" t="str">
        <f t="shared" si="159"/>
        <v>80-100%</v>
      </c>
      <c r="AO146" s="345">
        <f t="shared" si="160"/>
        <v>0</v>
      </c>
      <c r="AP146" s="350">
        <f t="shared" si="161"/>
        <v>0</v>
      </c>
      <c r="AQ146" s="348">
        <f t="shared" si="162"/>
        <v>0</v>
      </c>
      <c r="AR146" s="348">
        <f t="shared" si="163"/>
        <v>32</v>
      </c>
      <c r="AS146" s="348">
        <f t="shared" si="164"/>
        <v>0</v>
      </c>
      <c r="AT146" s="458">
        <v>1</v>
      </c>
      <c r="AU146" s="808">
        <f t="shared" si="165"/>
        <v>151</v>
      </c>
      <c r="AV146" s="448"/>
      <c r="AW146" s="814">
        <v>190</v>
      </c>
      <c r="AX146" s="449">
        <v>0</v>
      </c>
      <c r="AY146" s="431"/>
      <c r="AZ146" s="431">
        <v>7</v>
      </c>
      <c r="BA146" s="431"/>
      <c r="BB146" s="442" t="s">
        <v>290</v>
      </c>
      <c r="BC146" s="810">
        <f t="shared" si="166"/>
        <v>0.92715231788079466</v>
      </c>
      <c r="BD146" s="348">
        <f t="shared" si="167"/>
        <v>140</v>
      </c>
      <c r="BE146" s="351">
        <f t="shared" si="168"/>
        <v>0</v>
      </c>
      <c r="BF146" s="348">
        <f t="shared" si="169"/>
        <v>0</v>
      </c>
      <c r="BG146" s="351">
        <f t="shared" si="170"/>
        <v>0.92715231788079466</v>
      </c>
      <c r="BH146" s="348">
        <f t="shared" si="171"/>
        <v>140</v>
      </c>
      <c r="BI146" s="447">
        <v>0</v>
      </c>
      <c r="BJ146" s="463">
        <v>0.93</v>
      </c>
      <c r="BK146" s="352">
        <f t="shared" si="184"/>
        <v>140.43</v>
      </c>
      <c r="BL146" s="353">
        <f t="shared" si="185"/>
        <v>0.54999999999999982</v>
      </c>
      <c r="BM146" s="431">
        <v>2</v>
      </c>
      <c r="BN146" s="431" t="s">
        <v>89</v>
      </c>
      <c r="BO146" s="351">
        <f t="shared" si="172"/>
        <v>1</v>
      </c>
      <c r="BP146" s="348">
        <f t="shared" si="173"/>
        <v>151</v>
      </c>
      <c r="BQ146" s="353">
        <f t="shared" si="174"/>
        <v>0</v>
      </c>
      <c r="BR146" s="463">
        <v>1</v>
      </c>
      <c r="BS146" s="348">
        <f t="shared" si="175"/>
        <v>151</v>
      </c>
      <c r="BT146" s="431">
        <v>0</v>
      </c>
      <c r="BU146" s="351">
        <f t="shared" si="176"/>
        <v>0</v>
      </c>
      <c r="BV146" s="353">
        <f t="shared" si="177"/>
        <v>1.46</v>
      </c>
      <c r="BW146" s="451">
        <v>0</v>
      </c>
      <c r="BX146" s="473" t="s">
        <v>853</v>
      </c>
      <c r="BY146" s="475">
        <v>42173</v>
      </c>
      <c r="BZ146" s="663" t="s">
        <v>821</v>
      </c>
      <c r="CA146" s="666"/>
      <c r="CB146" s="354">
        <f t="shared" si="178"/>
        <v>42538</v>
      </c>
      <c r="CC146" s="431">
        <v>31</v>
      </c>
      <c r="CD146" s="431">
        <v>0</v>
      </c>
      <c r="CE146" s="355">
        <f t="shared" si="179"/>
        <v>1</v>
      </c>
      <c r="CF146" s="356">
        <f t="shared" si="180"/>
        <v>0.96875</v>
      </c>
      <c r="CG146" s="348">
        <f t="shared" si="181"/>
        <v>146.28125</v>
      </c>
      <c r="CH146" s="370">
        <f t="shared" si="182"/>
        <v>8</v>
      </c>
      <c r="CI146" s="441"/>
      <c r="CJ146" s="453">
        <v>0</v>
      </c>
      <c r="CK146" s="372">
        <f t="shared" si="186"/>
        <v>0</v>
      </c>
      <c r="CL146" s="441">
        <v>2</v>
      </c>
      <c r="CM146" s="357" t="str">
        <f t="shared" si="183"/>
        <v>Excellent coverage</v>
      </c>
      <c r="CN146" s="447">
        <v>0</v>
      </c>
      <c r="CO146" s="753" t="s">
        <v>292</v>
      </c>
      <c r="CP146" s="482"/>
    </row>
    <row r="147" spans="2:94" s="36" customFormat="1" ht="30.75" customHeight="1" x14ac:dyDescent="0.25">
      <c r="B147" s="438" t="s">
        <v>131</v>
      </c>
      <c r="C147" s="430" t="s">
        <v>480</v>
      </c>
      <c r="D147" s="430" t="s">
        <v>257</v>
      </c>
      <c r="E147" s="430" t="s">
        <v>152</v>
      </c>
      <c r="F147" s="430">
        <v>97.382192000000003</v>
      </c>
      <c r="G147" s="430">
        <v>25.404015000000001</v>
      </c>
      <c r="H147" s="430" t="s">
        <v>442</v>
      </c>
      <c r="I147" s="430" t="s">
        <v>213</v>
      </c>
      <c r="J147" s="430" t="s">
        <v>812</v>
      </c>
      <c r="K147" s="430" t="s">
        <v>800</v>
      </c>
      <c r="L147" s="722">
        <v>35</v>
      </c>
      <c r="M147" s="722">
        <v>175</v>
      </c>
      <c r="N147" s="639">
        <v>178</v>
      </c>
      <c r="O147" s="789">
        <v>178</v>
      </c>
      <c r="P147" s="796" t="str">
        <f t="shared" si="150"/>
        <v>1. Small</v>
      </c>
      <c r="Q147" s="797" t="s">
        <v>330</v>
      </c>
      <c r="R147" s="434" t="s">
        <v>234</v>
      </c>
      <c r="S147" s="793" t="s">
        <v>299</v>
      </c>
      <c r="T147" s="365" t="str">
        <f t="shared" si="151"/>
        <v>Not covered</v>
      </c>
      <c r="U147" s="782" t="s">
        <v>619</v>
      </c>
      <c r="V147" s="783" t="s">
        <v>254</v>
      </c>
      <c r="W147" s="363" t="str">
        <f t="shared" si="152"/>
        <v>Not documented</v>
      </c>
      <c r="X147" s="443">
        <v>0</v>
      </c>
      <c r="Y147" s="433">
        <v>0</v>
      </c>
      <c r="Z147" s="659" t="s">
        <v>19</v>
      </c>
      <c r="AA147" s="444" t="s">
        <v>19</v>
      </c>
      <c r="AB147" s="443">
        <v>0</v>
      </c>
      <c r="AC147" s="433">
        <v>2</v>
      </c>
      <c r="AD147" s="832">
        <v>0</v>
      </c>
      <c r="AE147" s="452">
        <v>0</v>
      </c>
      <c r="AF147" s="461">
        <v>1</v>
      </c>
      <c r="AG147" s="453" t="s">
        <v>830</v>
      </c>
      <c r="AH147" s="368">
        <f t="shared" si="153"/>
        <v>1</v>
      </c>
      <c r="AI147" s="346">
        <f t="shared" si="154"/>
        <v>178</v>
      </c>
      <c r="AJ147" s="347">
        <f t="shared" si="155"/>
        <v>1</v>
      </c>
      <c r="AK147" s="348">
        <f t="shared" si="156"/>
        <v>178</v>
      </c>
      <c r="AL147" s="345">
        <f t="shared" si="157"/>
        <v>1</v>
      </c>
      <c r="AM147" s="348">
        <f t="shared" si="158"/>
        <v>178</v>
      </c>
      <c r="AN147" s="349" t="str">
        <f t="shared" si="159"/>
        <v>80-100%</v>
      </c>
      <c r="AO147" s="345">
        <f t="shared" si="160"/>
        <v>0</v>
      </c>
      <c r="AP147" s="350">
        <f t="shared" si="161"/>
        <v>0</v>
      </c>
      <c r="AQ147" s="348">
        <f t="shared" si="162"/>
        <v>0</v>
      </c>
      <c r="AR147" s="348">
        <f t="shared" si="163"/>
        <v>35</v>
      </c>
      <c r="AS147" s="348">
        <f t="shared" si="164"/>
        <v>0</v>
      </c>
      <c r="AT147" s="461">
        <v>1</v>
      </c>
      <c r="AU147" s="808">
        <f t="shared" si="165"/>
        <v>178</v>
      </c>
      <c r="AV147" s="453"/>
      <c r="AW147" s="815">
        <v>0</v>
      </c>
      <c r="AX147" s="443">
        <v>0</v>
      </c>
      <c r="AY147" s="433"/>
      <c r="AZ147" s="433">
        <v>8</v>
      </c>
      <c r="BA147" s="433"/>
      <c r="BB147" s="444" t="s">
        <v>89</v>
      </c>
      <c r="BC147" s="810">
        <f t="shared" si="166"/>
        <v>0.898876404494382</v>
      </c>
      <c r="BD147" s="348">
        <f t="shared" si="167"/>
        <v>160</v>
      </c>
      <c r="BE147" s="351">
        <f t="shared" si="168"/>
        <v>0</v>
      </c>
      <c r="BF147" s="348">
        <f t="shared" si="169"/>
        <v>0</v>
      </c>
      <c r="BG147" s="351">
        <f t="shared" si="170"/>
        <v>0.898876404494382</v>
      </c>
      <c r="BH147" s="348">
        <f t="shared" si="171"/>
        <v>160</v>
      </c>
      <c r="BI147" s="466">
        <v>0</v>
      </c>
      <c r="BJ147" s="461">
        <v>1</v>
      </c>
      <c r="BK147" s="352">
        <f t="shared" si="184"/>
        <v>178</v>
      </c>
      <c r="BL147" s="353">
        <f t="shared" si="185"/>
        <v>0.90000000000000036</v>
      </c>
      <c r="BM147" s="433">
        <v>1</v>
      </c>
      <c r="BN147" s="433" t="s">
        <v>89</v>
      </c>
      <c r="BO147" s="351">
        <f t="shared" si="172"/>
        <v>0.5617977528089888</v>
      </c>
      <c r="BP147" s="348">
        <f t="shared" si="173"/>
        <v>100</v>
      </c>
      <c r="BQ147" s="353">
        <f t="shared" si="174"/>
        <v>0.75</v>
      </c>
      <c r="BR147" s="467">
        <v>0.56000000000000005</v>
      </c>
      <c r="BS147" s="348">
        <f t="shared" si="175"/>
        <v>99.68</v>
      </c>
      <c r="BT147" s="433">
        <v>0</v>
      </c>
      <c r="BU147" s="351">
        <f t="shared" si="176"/>
        <v>0</v>
      </c>
      <c r="BV147" s="353">
        <f t="shared" si="177"/>
        <v>1.75</v>
      </c>
      <c r="BW147" s="453">
        <v>0</v>
      </c>
      <c r="BX147" s="474" t="s">
        <v>854</v>
      </c>
      <c r="BY147" s="476">
        <v>42173</v>
      </c>
      <c r="BZ147" s="662" t="s">
        <v>821</v>
      </c>
      <c r="CA147" s="665"/>
      <c r="CB147" s="354">
        <f t="shared" si="178"/>
        <v>42538</v>
      </c>
      <c r="CC147" s="466">
        <v>33</v>
      </c>
      <c r="CD147" s="466">
        <v>0</v>
      </c>
      <c r="CE147" s="355">
        <f t="shared" si="179"/>
        <v>2</v>
      </c>
      <c r="CF147" s="356">
        <f t="shared" si="180"/>
        <v>0.94285714285714284</v>
      </c>
      <c r="CG147" s="348">
        <f t="shared" si="181"/>
        <v>167.82857142857142</v>
      </c>
      <c r="CH147" s="370">
        <f t="shared" si="182"/>
        <v>8</v>
      </c>
      <c r="CI147" s="478"/>
      <c r="CJ147" s="453">
        <v>0</v>
      </c>
      <c r="CK147" s="372">
        <f t="shared" si="186"/>
        <v>0</v>
      </c>
      <c r="CL147" s="478">
        <v>0</v>
      </c>
      <c r="CM147" s="357" t="str">
        <f t="shared" si="183"/>
        <v>No coverage</v>
      </c>
      <c r="CN147" s="447">
        <v>0</v>
      </c>
      <c r="CO147" s="752" t="s">
        <v>292</v>
      </c>
      <c r="CP147" s="485"/>
    </row>
    <row r="148" spans="2:94" s="36" customFormat="1" ht="30.75" customHeight="1" x14ac:dyDescent="0.25">
      <c r="B148" s="438" t="s">
        <v>131</v>
      </c>
      <c r="C148" s="430" t="s">
        <v>496</v>
      </c>
      <c r="D148" s="430" t="s">
        <v>257</v>
      </c>
      <c r="E148" s="430" t="s">
        <v>153</v>
      </c>
      <c r="F148" s="430">
        <v>97.403407999999999</v>
      </c>
      <c r="G148" s="430">
        <v>25.377545999999999</v>
      </c>
      <c r="H148" s="430" t="s">
        <v>442</v>
      </c>
      <c r="I148" s="430" t="s">
        <v>213</v>
      </c>
      <c r="J148" s="430" t="s">
        <v>812</v>
      </c>
      <c r="K148" s="430" t="s">
        <v>800</v>
      </c>
      <c r="L148" s="722">
        <v>7</v>
      </c>
      <c r="M148" s="722">
        <v>34</v>
      </c>
      <c r="N148" s="639">
        <v>34</v>
      </c>
      <c r="O148" s="789">
        <v>37</v>
      </c>
      <c r="P148" s="796" t="str">
        <f t="shared" si="150"/>
        <v>1. Small</v>
      </c>
      <c r="Q148" s="797" t="s">
        <v>938</v>
      </c>
      <c r="R148" s="434" t="s">
        <v>275</v>
      </c>
      <c r="S148" s="793" t="s">
        <v>299</v>
      </c>
      <c r="T148" s="365" t="str">
        <f t="shared" si="151"/>
        <v>Not covered</v>
      </c>
      <c r="U148" s="782" t="s">
        <v>619</v>
      </c>
      <c r="V148" s="783" t="s">
        <v>254</v>
      </c>
      <c r="W148" s="363" t="str">
        <f t="shared" si="152"/>
        <v>Not documented</v>
      </c>
      <c r="X148" s="443">
        <v>0</v>
      </c>
      <c r="Y148" s="433">
        <v>0</v>
      </c>
      <c r="Z148" s="659" t="s">
        <v>18</v>
      </c>
      <c r="AA148" s="444" t="s">
        <v>19</v>
      </c>
      <c r="AB148" s="443">
        <v>0</v>
      </c>
      <c r="AC148" s="433">
        <v>0</v>
      </c>
      <c r="AD148" s="832">
        <v>7200</v>
      </c>
      <c r="AE148" s="452">
        <v>0</v>
      </c>
      <c r="AF148" s="461">
        <v>0</v>
      </c>
      <c r="AG148" s="453"/>
      <c r="AH148" s="368">
        <f t="shared" si="153"/>
        <v>1</v>
      </c>
      <c r="AI148" s="346">
        <f t="shared" si="154"/>
        <v>37</v>
      </c>
      <c r="AJ148" s="347">
        <f t="shared" si="155"/>
        <v>1</v>
      </c>
      <c r="AK148" s="348">
        <f t="shared" si="156"/>
        <v>37</v>
      </c>
      <c r="AL148" s="345">
        <f t="shared" si="157"/>
        <v>1</v>
      </c>
      <c r="AM148" s="348">
        <f t="shared" si="158"/>
        <v>37</v>
      </c>
      <c r="AN148" s="349" t="str">
        <f t="shared" si="159"/>
        <v>80-100%</v>
      </c>
      <c r="AO148" s="345">
        <f t="shared" si="160"/>
        <v>0</v>
      </c>
      <c r="AP148" s="350">
        <f t="shared" si="161"/>
        <v>0</v>
      </c>
      <c r="AQ148" s="348">
        <f t="shared" si="162"/>
        <v>9.2499999999999999E-2</v>
      </c>
      <c r="AR148" s="348">
        <f t="shared" si="163"/>
        <v>0</v>
      </c>
      <c r="AS148" s="348">
        <f t="shared" si="164"/>
        <v>0</v>
      </c>
      <c r="AT148" s="461">
        <v>1</v>
      </c>
      <c r="AU148" s="808">
        <f t="shared" si="165"/>
        <v>37</v>
      </c>
      <c r="AV148" s="453"/>
      <c r="AW148" s="815">
        <v>21</v>
      </c>
      <c r="AX148" s="443">
        <v>0</v>
      </c>
      <c r="AY148" s="433"/>
      <c r="AZ148" s="433">
        <v>6</v>
      </c>
      <c r="BA148" s="433" t="s">
        <v>888</v>
      </c>
      <c r="BB148" s="444" t="s">
        <v>289</v>
      </c>
      <c r="BC148" s="810">
        <f t="shared" si="166"/>
        <v>1</v>
      </c>
      <c r="BD148" s="348">
        <f t="shared" si="167"/>
        <v>37</v>
      </c>
      <c r="BE148" s="351">
        <f t="shared" si="168"/>
        <v>0</v>
      </c>
      <c r="BF148" s="348">
        <f t="shared" si="169"/>
        <v>0</v>
      </c>
      <c r="BG148" s="351">
        <f t="shared" si="170"/>
        <v>1</v>
      </c>
      <c r="BH148" s="348">
        <f t="shared" si="171"/>
        <v>37</v>
      </c>
      <c r="BI148" s="466">
        <v>0</v>
      </c>
      <c r="BJ148" s="461">
        <v>1</v>
      </c>
      <c r="BK148" s="352">
        <f t="shared" si="184"/>
        <v>37</v>
      </c>
      <c r="BL148" s="353">
        <f t="shared" si="185"/>
        <v>0</v>
      </c>
      <c r="BM148" s="433">
        <v>1</v>
      </c>
      <c r="BN148" s="433" t="s">
        <v>869</v>
      </c>
      <c r="BO148" s="351">
        <f t="shared" si="172"/>
        <v>1</v>
      </c>
      <c r="BP148" s="348">
        <f t="shared" si="173"/>
        <v>37</v>
      </c>
      <c r="BQ148" s="353">
        <f t="shared" si="174"/>
        <v>0</v>
      </c>
      <c r="BR148" s="467">
        <v>1</v>
      </c>
      <c r="BS148" s="348">
        <f t="shared" si="175"/>
        <v>37</v>
      </c>
      <c r="BT148" s="433">
        <v>2</v>
      </c>
      <c r="BU148" s="351">
        <f t="shared" si="176"/>
        <v>1</v>
      </c>
      <c r="BV148" s="353">
        <f t="shared" si="177"/>
        <v>0</v>
      </c>
      <c r="BW148" s="453">
        <v>1</v>
      </c>
      <c r="BX148" s="474"/>
      <c r="BY148" s="476">
        <v>42048</v>
      </c>
      <c r="BZ148" s="662" t="s">
        <v>821</v>
      </c>
      <c r="CA148" s="665"/>
      <c r="CB148" s="354" t="str">
        <f t="shared" si="178"/>
        <v>To be realised</v>
      </c>
      <c r="CC148" s="466">
        <v>7</v>
      </c>
      <c r="CD148" s="466">
        <v>7</v>
      </c>
      <c r="CE148" s="355">
        <f t="shared" si="179"/>
        <v>7</v>
      </c>
      <c r="CF148" s="356">
        <f t="shared" si="180"/>
        <v>0</v>
      </c>
      <c r="CG148" s="348">
        <f t="shared" si="181"/>
        <v>0</v>
      </c>
      <c r="CH148" s="370">
        <f t="shared" si="182"/>
        <v>5</v>
      </c>
      <c r="CI148" s="478"/>
      <c r="CJ148" s="453">
        <v>0</v>
      </c>
      <c r="CK148" s="372">
        <f t="shared" si="186"/>
        <v>0</v>
      </c>
      <c r="CL148" s="478">
        <v>1</v>
      </c>
      <c r="CM148" s="357" t="str">
        <f t="shared" si="183"/>
        <v>Excellent coverage</v>
      </c>
      <c r="CN148" s="447">
        <v>0</v>
      </c>
      <c r="CO148" s="752" t="s">
        <v>65</v>
      </c>
      <c r="CP148" s="485"/>
    </row>
    <row r="149" spans="2:94" s="36" customFormat="1" ht="30.75" customHeight="1" x14ac:dyDescent="0.2">
      <c r="B149" s="438" t="s">
        <v>460</v>
      </c>
      <c r="C149" s="430" t="s">
        <v>688</v>
      </c>
      <c r="D149" s="430" t="s">
        <v>266</v>
      </c>
      <c r="E149" s="430" t="s">
        <v>461</v>
      </c>
      <c r="F149" s="430">
        <v>97.709548999999996</v>
      </c>
      <c r="G149" s="430">
        <v>23.838459</v>
      </c>
      <c r="H149" s="430" t="s">
        <v>442</v>
      </c>
      <c r="I149" s="430" t="s">
        <v>213</v>
      </c>
      <c r="J149" s="430" t="s">
        <v>814</v>
      </c>
      <c r="K149" s="430" t="s">
        <v>800</v>
      </c>
      <c r="L149" s="721">
        <v>134</v>
      </c>
      <c r="M149" s="721">
        <v>623</v>
      </c>
      <c r="N149" s="431">
        <v>623</v>
      </c>
      <c r="O149" s="660">
        <v>623</v>
      </c>
      <c r="P149" s="796" t="str">
        <f t="shared" si="150"/>
        <v>2. Medium</v>
      </c>
      <c r="Q149" s="797" t="s">
        <v>924</v>
      </c>
      <c r="R149" s="432" t="s">
        <v>234</v>
      </c>
      <c r="S149" s="436" t="s">
        <v>232</v>
      </c>
      <c r="T149" s="365" t="str">
        <f t="shared" si="151"/>
        <v>Covered</v>
      </c>
      <c r="U149" s="437">
        <v>42460</v>
      </c>
      <c r="V149" s="784" t="s">
        <v>252</v>
      </c>
      <c r="W149" s="363" t="str">
        <f t="shared" si="152"/>
        <v>Documented</v>
      </c>
      <c r="X149" s="441">
        <v>0</v>
      </c>
      <c r="Y149" s="431">
        <v>0</v>
      </c>
      <c r="Z149" s="431" t="s">
        <v>18</v>
      </c>
      <c r="AA149" s="442" t="s">
        <v>19</v>
      </c>
      <c r="AB149" s="441">
        <v>0</v>
      </c>
      <c r="AC149" s="447">
        <v>0</v>
      </c>
      <c r="AD149" s="831">
        <v>35000</v>
      </c>
      <c r="AE149" s="454">
        <v>1</v>
      </c>
      <c r="AF149" s="463">
        <v>0</v>
      </c>
      <c r="AG149" s="455"/>
      <c r="AH149" s="368">
        <f t="shared" si="153"/>
        <v>1</v>
      </c>
      <c r="AI149" s="346">
        <f t="shared" si="154"/>
        <v>623</v>
      </c>
      <c r="AJ149" s="347">
        <f t="shared" si="155"/>
        <v>1</v>
      </c>
      <c r="AK149" s="348">
        <f t="shared" si="156"/>
        <v>623</v>
      </c>
      <c r="AL149" s="345">
        <f t="shared" si="157"/>
        <v>1</v>
      </c>
      <c r="AM149" s="348">
        <f t="shared" si="158"/>
        <v>623</v>
      </c>
      <c r="AN149" s="349" t="str">
        <f t="shared" si="159"/>
        <v>80-100%</v>
      </c>
      <c r="AO149" s="345">
        <f t="shared" si="160"/>
        <v>0</v>
      </c>
      <c r="AP149" s="350">
        <f t="shared" si="161"/>
        <v>0</v>
      </c>
      <c r="AQ149" s="348">
        <f t="shared" si="162"/>
        <v>1.5575000000000001</v>
      </c>
      <c r="AR149" s="348">
        <f t="shared" si="163"/>
        <v>0</v>
      </c>
      <c r="AS149" s="348">
        <f t="shared" si="164"/>
        <v>623</v>
      </c>
      <c r="AT149" s="458">
        <v>1</v>
      </c>
      <c r="AU149" s="808">
        <f t="shared" si="165"/>
        <v>623</v>
      </c>
      <c r="AV149" s="448"/>
      <c r="AW149" s="814">
        <v>1</v>
      </c>
      <c r="AX149" s="449">
        <v>2</v>
      </c>
      <c r="AY149" s="431"/>
      <c r="AZ149" s="431">
        <v>20</v>
      </c>
      <c r="BA149" s="431" t="s">
        <v>888</v>
      </c>
      <c r="BB149" s="442" t="s">
        <v>291</v>
      </c>
      <c r="BC149" s="810">
        <f t="shared" si="166"/>
        <v>0.7062600321027287</v>
      </c>
      <c r="BD149" s="348">
        <f t="shared" si="167"/>
        <v>440</v>
      </c>
      <c r="BE149" s="351">
        <f t="shared" si="168"/>
        <v>6.4205457463884397E-2</v>
      </c>
      <c r="BF149" s="348">
        <f t="shared" si="169"/>
        <v>39.999999999999979</v>
      </c>
      <c r="BG149" s="351">
        <f t="shared" si="170"/>
        <v>0.6420545746388443</v>
      </c>
      <c r="BH149" s="348">
        <f t="shared" si="171"/>
        <v>400</v>
      </c>
      <c r="BI149" s="447">
        <v>10</v>
      </c>
      <c r="BJ149" s="463">
        <v>0.79</v>
      </c>
      <c r="BK149" s="352">
        <f t="shared" si="184"/>
        <v>492.17</v>
      </c>
      <c r="BL149" s="353">
        <f t="shared" si="185"/>
        <v>21.15</v>
      </c>
      <c r="BM149" s="431">
        <v>6</v>
      </c>
      <c r="BN149" s="431" t="s">
        <v>290</v>
      </c>
      <c r="BO149" s="351">
        <f t="shared" si="172"/>
        <v>0.96308186195826651</v>
      </c>
      <c r="BP149" s="348">
        <f t="shared" si="173"/>
        <v>600</v>
      </c>
      <c r="BQ149" s="353">
        <f t="shared" si="174"/>
        <v>0.23000000000000043</v>
      </c>
      <c r="BR149" s="463">
        <v>1</v>
      </c>
      <c r="BS149" s="348">
        <f t="shared" si="175"/>
        <v>623</v>
      </c>
      <c r="BT149" s="431">
        <v>5</v>
      </c>
      <c r="BU149" s="351">
        <f t="shared" si="176"/>
        <v>0.8025682182985554</v>
      </c>
      <c r="BV149" s="353">
        <f t="shared" si="177"/>
        <v>1.2300000000000004</v>
      </c>
      <c r="BW149" s="455">
        <v>1</v>
      </c>
      <c r="BX149" s="473"/>
      <c r="BY149" s="475">
        <v>42125</v>
      </c>
      <c r="BZ149" s="663" t="s">
        <v>821</v>
      </c>
      <c r="CA149" s="666"/>
      <c r="CB149" s="354">
        <f t="shared" si="178"/>
        <v>42490</v>
      </c>
      <c r="CC149" s="431">
        <v>141</v>
      </c>
      <c r="CD149" s="431">
        <v>8</v>
      </c>
      <c r="CE149" s="355">
        <f t="shared" si="179"/>
        <v>0</v>
      </c>
      <c r="CF149" s="356">
        <f t="shared" si="180"/>
        <v>1</v>
      </c>
      <c r="CG149" s="348">
        <f t="shared" si="181"/>
        <v>623</v>
      </c>
      <c r="CH149" s="641">
        <f t="shared" si="182"/>
        <v>1</v>
      </c>
      <c r="CI149" s="449"/>
      <c r="CJ149" s="455">
        <v>1</v>
      </c>
      <c r="CK149" s="372">
        <f t="shared" si="186"/>
        <v>623</v>
      </c>
      <c r="CL149" s="449">
        <v>1</v>
      </c>
      <c r="CM149" s="357" t="str">
        <f t="shared" si="183"/>
        <v>Good coverage</v>
      </c>
      <c r="CN149" s="431">
        <v>0</v>
      </c>
      <c r="CO149" s="753" t="s">
        <v>65</v>
      </c>
      <c r="CP149" s="482"/>
    </row>
    <row r="150" spans="2:94" s="36" customFormat="1" ht="30.75" customHeight="1" x14ac:dyDescent="0.2">
      <c r="B150" s="438" t="s">
        <v>460</v>
      </c>
      <c r="C150" s="430" t="s">
        <v>689</v>
      </c>
      <c r="D150" s="430" t="s">
        <v>266</v>
      </c>
      <c r="E150" s="430" t="s">
        <v>462</v>
      </c>
      <c r="F150" s="430">
        <v>97.701576000000003</v>
      </c>
      <c r="G150" s="430">
        <v>23.842051000000001</v>
      </c>
      <c r="H150" s="430" t="s">
        <v>442</v>
      </c>
      <c r="I150" s="430" t="s">
        <v>213</v>
      </c>
      <c r="J150" s="430" t="s">
        <v>814</v>
      </c>
      <c r="K150" s="430" t="s">
        <v>800</v>
      </c>
      <c r="L150" s="721">
        <v>37</v>
      </c>
      <c r="M150" s="721">
        <v>214</v>
      </c>
      <c r="N150" s="431">
        <v>200</v>
      </c>
      <c r="O150" s="660">
        <v>200</v>
      </c>
      <c r="P150" s="796" t="str">
        <f t="shared" si="150"/>
        <v>1. Small</v>
      </c>
      <c r="Q150" s="797" t="s">
        <v>924</v>
      </c>
      <c r="R150" s="432" t="s">
        <v>234</v>
      </c>
      <c r="S150" s="436" t="s">
        <v>232</v>
      </c>
      <c r="T150" s="365" t="str">
        <f t="shared" si="151"/>
        <v>Covered</v>
      </c>
      <c r="U150" s="437">
        <v>42460</v>
      </c>
      <c r="V150" s="784" t="s">
        <v>252</v>
      </c>
      <c r="W150" s="363" t="str">
        <f t="shared" si="152"/>
        <v>Documented</v>
      </c>
      <c r="X150" s="441">
        <v>0</v>
      </c>
      <c r="Y150" s="431">
        <v>0</v>
      </c>
      <c r="Z150" s="431" t="s">
        <v>18</v>
      </c>
      <c r="AA150" s="442" t="s">
        <v>19</v>
      </c>
      <c r="AB150" s="441">
        <v>0</v>
      </c>
      <c r="AC150" s="447">
        <v>0</v>
      </c>
      <c r="AD150" s="831">
        <v>7000</v>
      </c>
      <c r="AE150" s="454">
        <v>1</v>
      </c>
      <c r="AF150" s="463">
        <v>1</v>
      </c>
      <c r="AG150" s="455" t="s">
        <v>830</v>
      </c>
      <c r="AH150" s="368">
        <f t="shared" si="153"/>
        <v>1</v>
      </c>
      <c r="AI150" s="346">
        <f t="shared" si="154"/>
        <v>200</v>
      </c>
      <c r="AJ150" s="347">
        <f t="shared" si="155"/>
        <v>1</v>
      </c>
      <c r="AK150" s="348">
        <f t="shared" si="156"/>
        <v>200</v>
      </c>
      <c r="AL150" s="345">
        <f t="shared" si="157"/>
        <v>1</v>
      </c>
      <c r="AM150" s="348">
        <f t="shared" si="158"/>
        <v>200</v>
      </c>
      <c r="AN150" s="349" t="str">
        <f t="shared" si="159"/>
        <v>80-100%</v>
      </c>
      <c r="AO150" s="345">
        <f t="shared" si="160"/>
        <v>0</v>
      </c>
      <c r="AP150" s="350">
        <f t="shared" si="161"/>
        <v>0</v>
      </c>
      <c r="AQ150" s="348">
        <f t="shared" si="162"/>
        <v>0.5</v>
      </c>
      <c r="AR150" s="348">
        <f t="shared" si="163"/>
        <v>37</v>
      </c>
      <c r="AS150" s="348">
        <f t="shared" si="164"/>
        <v>200</v>
      </c>
      <c r="AT150" s="458">
        <v>1</v>
      </c>
      <c r="AU150" s="808">
        <f t="shared" si="165"/>
        <v>200</v>
      </c>
      <c r="AV150" s="448"/>
      <c r="AW150" s="814">
        <v>4</v>
      </c>
      <c r="AX150" s="449">
        <v>6</v>
      </c>
      <c r="AY150" s="431"/>
      <c r="AZ150" s="431">
        <v>0</v>
      </c>
      <c r="BA150" s="431" t="s">
        <v>888</v>
      </c>
      <c r="BB150" s="442" t="s">
        <v>89</v>
      </c>
      <c r="BC150" s="810">
        <f t="shared" si="166"/>
        <v>0.6</v>
      </c>
      <c r="BD150" s="348">
        <f t="shared" si="167"/>
        <v>120</v>
      </c>
      <c r="BE150" s="351">
        <f t="shared" si="168"/>
        <v>0.6</v>
      </c>
      <c r="BF150" s="348">
        <f t="shared" si="169"/>
        <v>120</v>
      </c>
      <c r="BG150" s="351">
        <f t="shared" si="170"/>
        <v>0</v>
      </c>
      <c r="BH150" s="348">
        <f t="shared" si="171"/>
        <v>0</v>
      </c>
      <c r="BI150" s="447">
        <v>2</v>
      </c>
      <c r="BJ150" s="463">
        <v>0.61</v>
      </c>
      <c r="BK150" s="352">
        <f t="shared" si="184"/>
        <v>122</v>
      </c>
      <c r="BL150" s="353">
        <f t="shared" si="185"/>
        <v>12</v>
      </c>
      <c r="BM150" s="431">
        <v>3</v>
      </c>
      <c r="BN150" s="431" t="s">
        <v>290</v>
      </c>
      <c r="BO150" s="351">
        <f t="shared" si="172"/>
        <v>1</v>
      </c>
      <c r="BP150" s="348">
        <f t="shared" si="173"/>
        <v>200</v>
      </c>
      <c r="BQ150" s="353">
        <f t="shared" si="174"/>
        <v>0</v>
      </c>
      <c r="BR150" s="463">
        <v>1</v>
      </c>
      <c r="BS150" s="348">
        <f t="shared" si="175"/>
        <v>200</v>
      </c>
      <c r="BT150" s="431">
        <v>2</v>
      </c>
      <c r="BU150" s="351">
        <f t="shared" si="176"/>
        <v>1</v>
      </c>
      <c r="BV150" s="353">
        <f t="shared" si="177"/>
        <v>0.14000000000000012</v>
      </c>
      <c r="BW150" s="451">
        <v>1</v>
      </c>
      <c r="BX150" s="473"/>
      <c r="BY150" s="475">
        <v>42125</v>
      </c>
      <c r="BZ150" s="663" t="s">
        <v>821</v>
      </c>
      <c r="CA150" s="666"/>
      <c r="CB150" s="354">
        <f t="shared" si="178"/>
        <v>42490</v>
      </c>
      <c r="CC150" s="431">
        <v>59</v>
      </c>
      <c r="CD150" s="431">
        <v>8</v>
      </c>
      <c r="CE150" s="355">
        <f t="shared" si="179"/>
        <v>0</v>
      </c>
      <c r="CF150" s="356">
        <f t="shared" si="180"/>
        <v>1</v>
      </c>
      <c r="CG150" s="348">
        <f t="shared" si="181"/>
        <v>200</v>
      </c>
      <c r="CH150" s="641">
        <f t="shared" si="182"/>
        <v>1</v>
      </c>
      <c r="CI150" s="441" t="s">
        <v>724</v>
      </c>
      <c r="CJ150" s="451">
        <v>0.2</v>
      </c>
      <c r="CK150" s="372">
        <f t="shared" si="186"/>
        <v>40</v>
      </c>
      <c r="CL150" s="441">
        <v>1</v>
      </c>
      <c r="CM150" s="357" t="str">
        <f t="shared" si="183"/>
        <v>Excellent coverage</v>
      </c>
      <c r="CN150" s="447">
        <v>0</v>
      </c>
      <c r="CO150" s="753" t="s">
        <v>292</v>
      </c>
      <c r="CP150" s="482"/>
    </row>
    <row r="151" spans="2:94" s="36" customFormat="1" ht="30.75" customHeight="1" x14ac:dyDescent="0.2">
      <c r="B151" s="438" t="s">
        <v>460</v>
      </c>
      <c r="C151" s="430" t="s">
        <v>568</v>
      </c>
      <c r="D151" s="430" t="s">
        <v>266</v>
      </c>
      <c r="E151" s="430" t="s">
        <v>210</v>
      </c>
      <c r="F151" s="430">
        <v>97.681920000000005</v>
      </c>
      <c r="G151" s="430">
        <v>23.821317000000001</v>
      </c>
      <c r="H151" s="430" t="s">
        <v>442</v>
      </c>
      <c r="I151" s="430" t="s">
        <v>213</v>
      </c>
      <c r="J151" s="430" t="s">
        <v>812</v>
      </c>
      <c r="K151" s="430" t="s">
        <v>800</v>
      </c>
      <c r="L151" s="721">
        <v>77</v>
      </c>
      <c r="M151" s="721">
        <v>384</v>
      </c>
      <c r="N151" s="431">
        <v>386</v>
      </c>
      <c r="O151" s="660">
        <v>386</v>
      </c>
      <c r="P151" s="796" t="str">
        <f t="shared" si="150"/>
        <v>2. Medium</v>
      </c>
      <c r="Q151" s="797"/>
      <c r="R151" s="432" t="s">
        <v>234</v>
      </c>
      <c r="S151" s="793" t="s">
        <v>299</v>
      </c>
      <c r="T151" s="365" t="str">
        <f t="shared" si="151"/>
        <v>Not covered</v>
      </c>
      <c r="U151" s="437" t="s">
        <v>619</v>
      </c>
      <c r="V151" s="783" t="s">
        <v>254</v>
      </c>
      <c r="W151" s="363" t="str">
        <f t="shared" si="152"/>
        <v>Not documented</v>
      </c>
      <c r="X151" s="441">
        <v>0</v>
      </c>
      <c r="Y151" s="431">
        <v>0</v>
      </c>
      <c r="Z151" s="431" t="s">
        <v>19</v>
      </c>
      <c r="AA151" s="442" t="s">
        <v>19</v>
      </c>
      <c r="AB151" s="441">
        <v>0</v>
      </c>
      <c r="AC151" s="447">
        <v>0</v>
      </c>
      <c r="AD151" s="831">
        <v>24000</v>
      </c>
      <c r="AE151" s="454">
        <v>1</v>
      </c>
      <c r="AF151" s="463">
        <v>0</v>
      </c>
      <c r="AG151" s="455"/>
      <c r="AH151" s="368">
        <f t="shared" si="153"/>
        <v>1</v>
      </c>
      <c r="AI151" s="346">
        <f t="shared" si="154"/>
        <v>386</v>
      </c>
      <c r="AJ151" s="347">
        <f t="shared" si="155"/>
        <v>1</v>
      </c>
      <c r="AK151" s="348">
        <f t="shared" si="156"/>
        <v>386</v>
      </c>
      <c r="AL151" s="345">
        <f t="shared" si="157"/>
        <v>1</v>
      </c>
      <c r="AM151" s="348">
        <f t="shared" si="158"/>
        <v>386</v>
      </c>
      <c r="AN151" s="349" t="str">
        <f t="shared" si="159"/>
        <v>80-100%</v>
      </c>
      <c r="AO151" s="345">
        <f t="shared" si="160"/>
        <v>0</v>
      </c>
      <c r="AP151" s="350">
        <f t="shared" si="161"/>
        <v>0</v>
      </c>
      <c r="AQ151" s="348">
        <f t="shared" si="162"/>
        <v>0.96499999999999997</v>
      </c>
      <c r="AR151" s="348">
        <f t="shared" si="163"/>
        <v>0</v>
      </c>
      <c r="AS151" s="348">
        <f t="shared" si="164"/>
        <v>386</v>
      </c>
      <c r="AT151" s="458">
        <v>1</v>
      </c>
      <c r="AU151" s="808">
        <f t="shared" si="165"/>
        <v>386</v>
      </c>
      <c r="AV151" s="448"/>
      <c r="AW151" s="814">
        <v>78</v>
      </c>
      <c r="AX151" s="449">
        <v>18</v>
      </c>
      <c r="AY151" s="431"/>
      <c r="AZ151" s="431">
        <v>1</v>
      </c>
      <c r="BA151" s="431" t="s">
        <v>888</v>
      </c>
      <c r="BB151" s="442" t="s">
        <v>289</v>
      </c>
      <c r="BC151" s="810">
        <f t="shared" si="166"/>
        <v>0.98445595854922274</v>
      </c>
      <c r="BD151" s="348">
        <f t="shared" si="167"/>
        <v>380</v>
      </c>
      <c r="BE151" s="351">
        <f t="shared" si="168"/>
        <v>0.93264248704663211</v>
      </c>
      <c r="BF151" s="348">
        <f t="shared" si="169"/>
        <v>360</v>
      </c>
      <c r="BG151" s="351">
        <f t="shared" si="170"/>
        <v>5.181347150259067E-2</v>
      </c>
      <c r="BH151" s="348">
        <f t="shared" si="171"/>
        <v>20</v>
      </c>
      <c r="BI151" s="447">
        <v>1</v>
      </c>
      <c r="BJ151" s="463">
        <v>1</v>
      </c>
      <c r="BK151" s="352">
        <f t="shared" si="184"/>
        <v>386</v>
      </c>
      <c r="BL151" s="353">
        <f t="shared" si="185"/>
        <v>19.3</v>
      </c>
      <c r="BM151" s="431">
        <v>2</v>
      </c>
      <c r="BN151" s="431" t="s">
        <v>89</v>
      </c>
      <c r="BO151" s="351">
        <f t="shared" si="172"/>
        <v>0.51813471502590669</v>
      </c>
      <c r="BP151" s="348">
        <f t="shared" si="173"/>
        <v>199.99999999999997</v>
      </c>
      <c r="BQ151" s="353">
        <f t="shared" si="174"/>
        <v>1.8399999999999999</v>
      </c>
      <c r="BR151" s="463">
        <v>0.53</v>
      </c>
      <c r="BS151" s="348">
        <f t="shared" si="175"/>
        <v>204.58</v>
      </c>
      <c r="BT151" s="431">
        <v>3</v>
      </c>
      <c r="BU151" s="351">
        <f t="shared" si="176"/>
        <v>0.77720207253886009</v>
      </c>
      <c r="BV151" s="353">
        <f t="shared" si="177"/>
        <v>0.83999999999999986</v>
      </c>
      <c r="BW151" s="451">
        <v>0.78</v>
      </c>
      <c r="BX151" s="473" t="s">
        <v>792</v>
      </c>
      <c r="BY151" s="475">
        <v>41983</v>
      </c>
      <c r="BZ151" s="663" t="s">
        <v>819</v>
      </c>
      <c r="CA151" s="666">
        <v>0</v>
      </c>
      <c r="CB151" s="354" t="str">
        <f t="shared" si="178"/>
        <v>To be realised</v>
      </c>
      <c r="CC151" s="431">
        <v>77</v>
      </c>
      <c r="CD151" s="431">
        <v>20</v>
      </c>
      <c r="CE151" s="355">
        <f t="shared" si="179"/>
        <v>77</v>
      </c>
      <c r="CF151" s="356">
        <f t="shared" si="180"/>
        <v>0</v>
      </c>
      <c r="CG151" s="348">
        <f t="shared" si="181"/>
        <v>0</v>
      </c>
      <c r="CH151" s="641">
        <f t="shared" si="182"/>
        <v>0</v>
      </c>
      <c r="CI151" s="441" t="s">
        <v>724</v>
      </c>
      <c r="CJ151" s="453">
        <v>0</v>
      </c>
      <c r="CK151" s="372">
        <f t="shared" si="186"/>
        <v>0</v>
      </c>
      <c r="CL151" s="441">
        <v>0</v>
      </c>
      <c r="CM151" s="357" t="str">
        <f t="shared" si="183"/>
        <v>No coverage</v>
      </c>
      <c r="CN151" s="447">
        <v>0</v>
      </c>
      <c r="CO151" s="753" t="s">
        <v>292</v>
      </c>
      <c r="CP151" s="482"/>
    </row>
    <row r="152" spans="2:94" s="36" customFormat="1" ht="30.75" customHeight="1" x14ac:dyDescent="0.2">
      <c r="B152" s="438" t="s">
        <v>460</v>
      </c>
      <c r="C152" s="430" t="s">
        <v>569</v>
      </c>
      <c r="D152" s="430" t="s">
        <v>266</v>
      </c>
      <c r="E152" s="430" t="s">
        <v>211</v>
      </c>
      <c r="F152" s="430">
        <v>97.683499999999995</v>
      </c>
      <c r="G152" s="430">
        <v>23.831700000000001</v>
      </c>
      <c r="H152" s="430" t="s">
        <v>442</v>
      </c>
      <c r="I152" s="430" t="s">
        <v>213</v>
      </c>
      <c r="J152" s="430" t="s">
        <v>812</v>
      </c>
      <c r="K152" s="430" t="s">
        <v>800</v>
      </c>
      <c r="L152" s="721">
        <v>73</v>
      </c>
      <c r="M152" s="721">
        <v>393</v>
      </c>
      <c r="N152" s="431">
        <v>366</v>
      </c>
      <c r="O152" s="660">
        <v>366</v>
      </c>
      <c r="P152" s="796" t="str">
        <f t="shared" si="150"/>
        <v>2. Medium</v>
      </c>
      <c r="Q152" s="797" t="s">
        <v>322</v>
      </c>
      <c r="R152" s="432" t="s">
        <v>234</v>
      </c>
      <c r="S152" s="436" t="s">
        <v>407</v>
      </c>
      <c r="T152" s="365" t="str">
        <f t="shared" si="151"/>
        <v>Covered</v>
      </c>
      <c r="U152" s="437">
        <v>42613</v>
      </c>
      <c r="V152" s="784" t="s">
        <v>252</v>
      </c>
      <c r="W152" s="363" t="str">
        <f t="shared" si="152"/>
        <v>Documented</v>
      </c>
      <c r="X152" s="441">
        <v>0</v>
      </c>
      <c r="Y152" s="431">
        <v>0</v>
      </c>
      <c r="Z152" s="431" t="s">
        <v>19</v>
      </c>
      <c r="AA152" s="442" t="s">
        <v>19</v>
      </c>
      <c r="AB152" s="441">
        <v>0</v>
      </c>
      <c r="AC152" s="447">
        <v>0</v>
      </c>
      <c r="AD152" s="831">
        <v>30240</v>
      </c>
      <c r="AE152" s="454">
        <v>1</v>
      </c>
      <c r="AF152" s="463">
        <v>0</v>
      </c>
      <c r="AG152" s="455"/>
      <c r="AH152" s="368">
        <f t="shared" si="153"/>
        <v>1</v>
      </c>
      <c r="AI152" s="346">
        <f t="shared" si="154"/>
        <v>366</v>
      </c>
      <c r="AJ152" s="347">
        <f t="shared" si="155"/>
        <v>1</v>
      </c>
      <c r="AK152" s="348">
        <f t="shared" si="156"/>
        <v>366</v>
      </c>
      <c r="AL152" s="345">
        <f t="shared" si="157"/>
        <v>1</v>
      </c>
      <c r="AM152" s="348">
        <f t="shared" si="158"/>
        <v>366</v>
      </c>
      <c r="AN152" s="349" t="str">
        <f t="shared" si="159"/>
        <v>80-100%</v>
      </c>
      <c r="AO152" s="345">
        <f t="shared" si="160"/>
        <v>0</v>
      </c>
      <c r="AP152" s="350">
        <f t="shared" si="161"/>
        <v>0</v>
      </c>
      <c r="AQ152" s="348">
        <f t="shared" si="162"/>
        <v>0.91500000000000004</v>
      </c>
      <c r="AR152" s="348">
        <f t="shared" si="163"/>
        <v>0</v>
      </c>
      <c r="AS152" s="348">
        <f t="shared" si="164"/>
        <v>366</v>
      </c>
      <c r="AT152" s="458">
        <v>1</v>
      </c>
      <c r="AU152" s="808">
        <f t="shared" si="165"/>
        <v>366</v>
      </c>
      <c r="AV152" s="448"/>
      <c r="AW152" s="814">
        <v>0</v>
      </c>
      <c r="AX152" s="449"/>
      <c r="AY152" s="431"/>
      <c r="AZ152" s="431">
        <v>10</v>
      </c>
      <c r="BA152" s="431"/>
      <c r="BB152" s="442" t="s">
        <v>290</v>
      </c>
      <c r="BC152" s="810">
        <f t="shared" si="166"/>
        <v>0.54644808743169404</v>
      </c>
      <c r="BD152" s="348">
        <f t="shared" si="167"/>
        <v>200.00000000000003</v>
      </c>
      <c r="BE152" s="351">
        <f t="shared" si="168"/>
        <v>0</v>
      </c>
      <c r="BF152" s="348">
        <f t="shared" si="169"/>
        <v>0</v>
      </c>
      <c r="BG152" s="351">
        <f t="shared" si="170"/>
        <v>0.54644808743169404</v>
      </c>
      <c r="BH152" s="348">
        <f t="shared" si="171"/>
        <v>200.00000000000003</v>
      </c>
      <c r="BI152" s="447">
        <v>3</v>
      </c>
      <c r="BJ152" s="463">
        <v>0.82</v>
      </c>
      <c r="BK152" s="352">
        <f t="shared" si="184"/>
        <v>300.12</v>
      </c>
      <c r="BL152" s="353">
        <f t="shared" si="185"/>
        <v>11.3</v>
      </c>
      <c r="BM152" s="431">
        <v>2</v>
      </c>
      <c r="BN152" s="431" t="s">
        <v>290</v>
      </c>
      <c r="BO152" s="351">
        <f t="shared" si="172"/>
        <v>0.54644808743169404</v>
      </c>
      <c r="BP152" s="348">
        <f t="shared" si="173"/>
        <v>200.00000000000003</v>
      </c>
      <c r="BQ152" s="353">
        <f t="shared" si="174"/>
        <v>1.9300000000000002</v>
      </c>
      <c r="BR152" s="463">
        <v>0.55000000000000004</v>
      </c>
      <c r="BS152" s="348">
        <f t="shared" si="175"/>
        <v>201.3</v>
      </c>
      <c r="BT152" s="431">
        <v>2</v>
      </c>
      <c r="BU152" s="351">
        <f t="shared" si="176"/>
        <v>0.54644808743169404</v>
      </c>
      <c r="BV152" s="353">
        <f t="shared" si="177"/>
        <v>1.9300000000000002</v>
      </c>
      <c r="BW152" s="451">
        <v>1</v>
      </c>
      <c r="BX152" s="473" t="s">
        <v>855</v>
      </c>
      <c r="BY152" s="475">
        <v>41983</v>
      </c>
      <c r="BZ152" s="663" t="s">
        <v>819</v>
      </c>
      <c r="CA152" s="666">
        <v>0</v>
      </c>
      <c r="CB152" s="354" t="str">
        <f t="shared" si="178"/>
        <v>To be realised</v>
      </c>
      <c r="CC152" s="431">
        <v>73</v>
      </c>
      <c r="CD152" s="431">
        <v>20</v>
      </c>
      <c r="CE152" s="355">
        <f t="shared" si="179"/>
        <v>73</v>
      </c>
      <c r="CF152" s="356">
        <f t="shared" si="180"/>
        <v>0</v>
      </c>
      <c r="CG152" s="348">
        <f t="shared" si="181"/>
        <v>0</v>
      </c>
      <c r="CH152" s="641">
        <f t="shared" si="182"/>
        <v>0</v>
      </c>
      <c r="CI152" s="441"/>
      <c r="CJ152" s="451">
        <v>0</v>
      </c>
      <c r="CK152" s="372">
        <f t="shared" si="186"/>
        <v>0</v>
      </c>
      <c r="CL152" s="441">
        <v>4</v>
      </c>
      <c r="CM152" s="357" t="str">
        <f t="shared" si="183"/>
        <v>Excellent coverage</v>
      </c>
      <c r="CN152" s="447">
        <v>0</v>
      </c>
      <c r="CO152" s="753" t="s">
        <v>65</v>
      </c>
      <c r="CP152" s="482"/>
    </row>
    <row r="153" spans="2:94" s="36" customFormat="1" ht="30.75" customHeight="1" x14ac:dyDescent="0.2">
      <c r="B153" s="438" t="s">
        <v>460</v>
      </c>
      <c r="C153" s="430" t="s">
        <v>570</v>
      </c>
      <c r="D153" s="430" t="s">
        <v>266</v>
      </c>
      <c r="E153" s="430" t="s">
        <v>212</v>
      </c>
      <c r="F153" s="430">
        <v>97.685199999999995</v>
      </c>
      <c r="G153" s="430">
        <v>23.833100000000002</v>
      </c>
      <c r="H153" s="430" t="s">
        <v>442</v>
      </c>
      <c r="I153" s="430" t="s">
        <v>213</v>
      </c>
      <c r="J153" s="430" t="s">
        <v>812</v>
      </c>
      <c r="K153" s="430" t="s">
        <v>800</v>
      </c>
      <c r="L153" s="721">
        <v>50</v>
      </c>
      <c r="M153" s="721">
        <v>218</v>
      </c>
      <c r="N153" s="431">
        <v>212</v>
      </c>
      <c r="O153" s="660">
        <v>212</v>
      </c>
      <c r="P153" s="796" t="str">
        <f t="shared" si="150"/>
        <v>1. Small</v>
      </c>
      <c r="Q153" s="797" t="s">
        <v>322</v>
      </c>
      <c r="R153" s="432" t="s">
        <v>230</v>
      </c>
      <c r="S153" s="436" t="s">
        <v>407</v>
      </c>
      <c r="T153" s="365" t="str">
        <f t="shared" si="151"/>
        <v>Covered</v>
      </c>
      <c r="U153" s="437">
        <v>42613</v>
      </c>
      <c r="V153" s="784" t="s">
        <v>252</v>
      </c>
      <c r="W153" s="363" t="str">
        <f t="shared" si="152"/>
        <v>Documented</v>
      </c>
      <c r="X153" s="441">
        <v>0</v>
      </c>
      <c r="Y153" s="431">
        <v>0</v>
      </c>
      <c r="Z153" s="431" t="s">
        <v>19</v>
      </c>
      <c r="AA153" s="442" t="s">
        <v>19</v>
      </c>
      <c r="AB153" s="441">
        <v>1</v>
      </c>
      <c r="AC153" s="447">
        <v>0</v>
      </c>
      <c r="AD153" s="831">
        <v>35500</v>
      </c>
      <c r="AE153" s="454">
        <v>1</v>
      </c>
      <c r="AF153" s="463">
        <v>1</v>
      </c>
      <c r="AG153" s="455" t="s">
        <v>830</v>
      </c>
      <c r="AH153" s="368">
        <f t="shared" si="153"/>
        <v>1</v>
      </c>
      <c r="AI153" s="346">
        <f t="shared" si="154"/>
        <v>212</v>
      </c>
      <c r="AJ153" s="347">
        <f t="shared" si="155"/>
        <v>1</v>
      </c>
      <c r="AK153" s="348">
        <f t="shared" si="156"/>
        <v>212</v>
      </c>
      <c r="AL153" s="345">
        <f t="shared" si="157"/>
        <v>1</v>
      </c>
      <c r="AM153" s="348">
        <f t="shared" si="158"/>
        <v>212</v>
      </c>
      <c r="AN153" s="349" t="str">
        <f t="shared" si="159"/>
        <v>80-100%</v>
      </c>
      <c r="AO153" s="345">
        <f t="shared" si="160"/>
        <v>0</v>
      </c>
      <c r="AP153" s="350">
        <f t="shared" si="161"/>
        <v>0</v>
      </c>
      <c r="AQ153" s="348">
        <f t="shared" si="162"/>
        <v>0</v>
      </c>
      <c r="AR153" s="348">
        <f t="shared" si="163"/>
        <v>50</v>
      </c>
      <c r="AS153" s="348">
        <f t="shared" si="164"/>
        <v>212</v>
      </c>
      <c r="AT153" s="458">
        <v>1</v>
      </c>
      <c r="AU153" s="808">
        <f t="shared" si="165"/>
        <v>212</v>
      </c>
      <c r="AV153" s="448"/>
      <c r="AW153" s="814">
        <v>0</v>
      </c>
      <c r="AX153" s="449"/>
      <c r="AY153" s="431"/>
      <c r="AZ153" s="431">
        <v>15</v>
      </c>
      <c r="BA153" s="431"/>
      <c r="BB153" s="442" t="s">
        <v>290</v>
      </c>
      <c r="BC153" s="810">
        <f t="shared" si="166"/>
        <v>1</v>
      </c>
      <c r="BD153" s="348">
        <f t="shared" si="167"/>
        <v>212</v>
      </c>
      <c r="BE153" s="351">
        <f t="shared" si="168"/>
        <v>0</v>
      </c>
      <c r="BF153" s="348">
        <f t="shared" si="169"/>
        <v>0</v>
      </c>
      <c r="BG153" s="351">
        <f t="shared" si="170"/>
        <v>1</v>
      </c>
      <c r="BH153" s="348">
        <f t="shared" si="171"/>
        <v>212</v>
      </c>
      <c r="BI153" s="447">
        <v>3</v>
      </c>
      <c r="BJ153" s="463">
        <v>1</v>
      </c>
      <c r="BK153" s="352">
        <f t="shared" si="184"/>
        <v>212</v>
      </c>
      <c r="BL153" s="353">
        <f t="shared" si="185"/>
        <v>0</v>
      </c>
      <c r="BM153" s="431">
        <v>2</v>
      </c>
      <c r="BN153" s="431" t="s">
        <v>290</v>
      </c>
      <c r="BO153" s="351">
        <f t="shared" si="172"/>
        <v>0.94339622641509435</v>
      </c>
      <c r="BP153" s="348">
        <f t="shared" si="173"/>
        <v>200</v>
      </c>
      <c r="BQ153" s="353">
        <f t="shared" si="174"/>
        <v>0.18000000000000016</v>
      </c>
      <c r="BR153" s="463">
        <v>0.94</v>
      </c>
      <c r="BS153" s="348">
        <f t="shared" si="175"/>
        <v>199.28</v>
      </c>
      <c r="BT153" s="431">
        <v>0</v>
      </c>
      <c r="BU153" s="351">
        <f t="shared" si="176"/>
        <v>0</v>
      </c>
      <c r="BV153" s="353">
        <f t="shared" si="177"/>
        <v>2.1800000000000002</v>
      </c>
      <c r="BW153" s="451">
        <v>0</v>
      </c>
      <c r="BX153" s="473" t="s">
        <v>856</v>
      </c>
      <c r="BY153" s="475">
        <v>41983</v>
      </c>
      <c r="BZ153" s="663" t="s">
        <v>821</v>
      </c>
      <c r="CA153" s="666">
        <v>0</v>
      </c>
      <c r="CB153" s="354" t="str">
        <f t="shared" si="178"/>
        <v>To be realised</v>
      </c>
      <c r="CC153" s="431">
        <v>53</v>
      </c>
      <c r="CD153" s="431">
        <v>17</v>
      </c>
      <c r="CE153" s="355">
        <f t="shared" si="179"/>
        <v>50</v>
      </c>
      <c r="CF153" s="356">
        <f t="shared" si="180"/>
        <v>0</v>
      </c>
      <c r="CG153" s="348">
        <f t="shared" si="181"/>
        <v>0</v>
      </c>
      <c r="CH153" s="641">
        <f t="shared" si="182"/>
        <v>0</v>
      </c>
      <c r="CI153" s="441"/>
      <c r="CJ153" s="451">
        <v>1</v>
      </c>
      <c r="CK153" s="372">
        <f t="shared" si="186"/>
        <v>212</v>
      </c>
      <c r="CL153" s="441">
        <v>0</v>
      </c>
      <c r="CM153" s="357" t="str">
        <f t="shared" si="183"/>
        <v>No coverage</v>
      </c>
      <c r="CN153" s="447">
        <v>0</v>
      </c>
      <c r="CO153" s="753" t="s">
        <v>65</v>
      </c>
      <c r="CP153" s="482"/>
    </row>
    <row r="154" spans="2:94" s="36" customFormat="1" ht="30.75" customHeight="1" x14ac:dyDescent="0.2">
      <c r="B154" s="438" t="s">
        <v>227</v>
      </c>
      <c r="C154" s="430" t="s">
        <v>894</v>
      </c>
      <c r="D154" s="430" t="s">
        <v>268</v>
      </c>
      <c r="E154" s="430" t="s">
        <v>895</v>
      </c>
      <c r="F154" s="430">
        <v>97.398989</v>
      </c>
      <c r="G154" s="430">
        <v>23.088058</v>
      </c>
      <c r="H154" s="430" t="s">
        <v>453</v>
      </c>
      <c r="I154" s="430" t="s">
        <v>221</v>
      </c>
      <c r="J154" s="430" t="s">
        <v>814</v>
      </c>
      <c r="K154" s="430" t="s">
        <v>801</v>
      </c>
      <c r="L154" s="721">
        <v>118</v>
      </c>
      <c r="M154" s="721">
        <v>520</v>
      </c>
      <c r="N154" s="431">
        <v>446</v>
      </c>
      <c r="O154" s="660">
        <v>446</v>
      </c>
      <c r="P154" s="796" t="str">
        <f t="shared" si="150"/>
        <v>2. Medium</v>
      </c>
      <c r="Q154" s="797"/>
      <c r="R154" s="432" t="s">
        <v>230</v>
      </c>
      <c r="S154" s="793" t="s">
        <v>299</v>
      </c>
      <c r="T154" s="365" t="str">
        <f t="shared" si="151"/>
        <v>Not covered</v>
      </c>
      <c r="U154" s="437" t="s">
        <v>619</v>
      </c>
      <c r="V154" s="783" t="s">
        <v>254</v>
      </c>
      <c r="W154" s="363" t="str">
        <f t="shared" si="152"/>
        <v>Not documented</v>
      </c>
      <c r="X154" s="441">
        <v>0</v>
      </c>
      <c r="Y154" s="431">
        <v>0</v>
      </c>
      <c r="Z154" s="431" t="s">
        <v>19</v>
      </c>
      <c r="AA154" s="442" t="s">
        <v>19</v>
      </c>
      <c r="AB154" s="441">
        <v>0</v>
      </c>
      <c r="AC154" s="447">
        <v>0</v>
      </c>
      <c r="AD154" s="831">
        <v>0</v>
      </c>
      <c r="AE154" s="454">
        <v>0</v>
      </c>
      <c r="AF154" s="463">
        <v>0</v>
      </c>
      <c r="AG154" s="455"/>
      <c r="AH154" s="368">
        <f t="shared" si="153"/>
        <v>0</v>
      </c>
      <c r="AI154" s="346">
        <f t="shared" si="154"/>
        <v>0</v>
      </c>
      <c r="AJ154" s="347">
        <f t="shared" si="155"/>
        <v>0</v>
      </c>
      <c r="AK154" s="348">
        <f t="shared" si="156"/>
        <v>0</v>
      </c>
      <c r="AL154" s="345">
        <f t="shared" si="157"/>
        <v>0</v>
      </c>
      <c r="AM154" s="348">
        <f t="shared" si="158"/>
        <v>0</v>
      </c>
      <c r="AN154" s="349" t="str">
        <f t="shared" si="159"/>
        <v>0-10%</v>
      </c>
      <c r="AO154" s="345">
        <f t="shared" si="160"/>
        <v>0</v>
      </c>
      <c r="AP154" s="350">
        <f t="shared" si="161"/>
        <v>0</v>
      </c>
      <c r="AQ154" s="348">
        <f t="shared" si="162"/>
        <v>1.115</v>
      </c>
      <c r="AR154" s="348">
        <f t="shared" si="163"/>
        <v>0</v>
      </c>
      <c r="AS154" s="348">
        <f t="shared" si="164"/>
        <v>0</v>
      </c>
      <c r="AT154" s="458">
        <v>0</v>
      </c>
      <c r="AU154" s="808">
        <f t="shared" si="165"/>
        <v>0</v>
      </c>
      <c r="AV154" s="448"/>
      <c r="AW154" s="814">
        <v>11</v>
      </c>
      <c r="AX154" s="449">
        <v>0</v>
      </c>
      <c r="AY154" s="431"/>
      <c r="AZ154" s="431">
        <v>0</v>
      </c>
      <c r="BA154" s="431"/>
      <c r="BB154" s="442" t="s">
        <v>89</v>
      </c>
      <c r="BC154" s="810">
        <f t="shared" si="166"/>
        <v>0</v>
      </c>
      <c r="BD154" s="348">
        <f t="shared" si="167"/>
        <v>0</v>
      </c>
      <c r="BE154" s="351">
        <f t="shared" si="168"/>
        <v>0</v>
      </c>
      <c r="BF154" s="348">
        <f t="shared" si="169"/>
        <v>0</v>
      </c>
      <c r="BG154" s="351">
        <f t="shared" si="170"/>
        <v>0</v>
      </c>
      <c r="BH154" s="348">
        <f t="shared" si="171"/>
        <v>0</v>
      </c>
      <c r="BI154" s="447">
        <v>0</v>
      </c>
      <c r="BJ154" s="463">
        <v>0</v>
      </c>
      <c r="BK154" s="352">
        <f t="shared" si="184"/>
        <v>0</v>
      </c>
      <c r="BL154" s="353">
        <f t="shared" si="185"/>
        <v>22.3</v>
      </c>
      <c r="BM154" s="431">
        <v>0</v>
      </c>
      <c r="BN154" s="431" t="s">
        <v>89</v>
      </c>
      <c r="BO154" s="351">
        <f t="shared" si="172"/>
        <v>0</v>
      </c>
      <c r="BP154" s="348">
        <f t="shared" si="173"/>
        <v>0</v>
      </c>
      <c r="BQ154" s="353">
        <f t="shared" si="174"/>
        <v>5.2</v>
      </c>
      <c r="BR154" s="463">
        <v>0</v>
      </c>
      <c r="BS154" s="348">
        <f t="shared" si="175"/>
        <v>0</v>
      </c>
      <c r="BT154" s="431">
        <v>0</v>
      </c>
      <c r="BU154" s="351">
        <f t="shared" si="176"/>
        <v>0</v>
      </c>
      <c r="BV154" s="353">
        <f t="shared" si="177"/>
        <v>5.2</v>
      </c>
      <c r="BW154" s="451">
        <v>0</v>
      </c>
      <c r="BX154" s="473"/>
      <c r="BY154" s="475"/>
      <c r="BZ154" s="663" t="s">
        <v>825</v>
      </c>
      <c r="CA154" s="666">
        <v>0</v>
      </c>
      <c r="CB154" s="354" t="str">
        <f t="shared" si="178"/>
        <v>To be realised</v>
      </c>
      <c r="CC154" s="431">
        <v>0</v>
      </c>
      <c r="CD154" s="431">
        <v>0</v>
      </c>
      <c r="CE154" s="355">
        <f t="shared" si="179"/>
        <v>118</v>
      </c>
      <c r="CF154" s="356">
        <f t="shared" si="180"/>
        <v>0</v>
      </c>
      <c r="CG154" s="348">
        <f t="shared" si="181"/>
        <v>0</v>
      </c>
      <c r="CH154" s="641" t="str">
        <f t="shared" si="182"/>
        <v>Column BN to be completed</v>
      </c>
      <c r="CI154" s="441"/>
      <c r="CJ154" s="453">
        <v>0</v>
      </c>
      <c r="CK154" s="372">
        <f t="shared" si="186"/>
        <v>0</v>
      </c>
      <c r="CL154" s="441">
        <v>0</v>
      </c>
      <c r="CM154" s="357" t="str">
        <f t="shared" si="183"/>
        <v>No coverage</v>
      </c>
      <c r="CN154" s="447">
        <v>0</v>
      </c>
      <c r="CO154" s="753" t="s">
        <v>292</v>
      </c>
      <c r="CP154" s="482"/>
    </row>
    <row r="155" spans="2:94" s="36" customFormat="1" ht="30.75" customHeight="1" x14ac:dyDescent="0.2">
      <c r="B155" s="438" t="s">
        <v>227</v>
      </c>
      <c r="C155" s="430" t="s">
        <v>538</v>
      </c>
      <c r="D155" s="430" t="s">
        <v>268</v>
      </c>
      <c r="E155" s="430" t="s">
        <v>451</v>
      </c>
      <c r="F155" s="430">
        <v>97.406869999999998</v>
      </c>
      <c r="G155" s="430">
        <v>23.092880000000001</v>
      </c>
      <c r="H155" s="430" t="s">
        <v>442</v>
      </c>
      <c r="I155" s="430" t="s">
        <v>213</v>
      </c>
      <c r="J155" s="430" t="s">
        <v>813</v>
      </c>
      <c r="K155" s="430" t="s">
        <v>800</v>
      </c>
      <c r="L155" s="721">
        <v>9</v>
      </c>
      <c r="M155" s="721">
        <v>52</v>
      </c>
      <c r="N155" s="431">
        <v>39</v>
      </c>
      <c r="O155" s="660">
        <v>39</v>
      </c>
      <c r="P155" s="796" t="str">
        <f t="shared" si="150"/>
        <v>1. Small</v>
      </c>
      <c r="Q155" s="797" t="s">
        <v>924</v>
      </c>
      <c r="R155" s="432" t="s">
        <v>913</v>
      </c>
      <c r="S155" s="436" t="s">
        <v>232</v>
      </c>
      <c r="T155" s="365" t="str">
        <f t="shared" si="151"/>
        <v>Covered</v>
      </c>
      <c r="U155" s="437">
        <v>42460</v>
      </c>
      <c r="V155" s="784" t="s">
        <v>252</v>
      </c>
      <c r="W155" s="363" t="str">
        <f t="shared" si="152"/>
        <v>Documented</v>
      </c>
      <c r="X155" s="441">
        <v>0</v>
      </c>
      <c r="Y155" s="431">
        <v>0</v>
      </c>
      <c r="Z155" s="431" t="s">
        <v>19</v>
      </c>
      <c r="AA155" s="442" t="s">
        <v>19</v>
      </c>
      <c r="AB155" s="441">
        <v>0</v>
      </c>
      <c r="AC155" s="447">
        <v>0</v>
      </c>
      <c r="AD155" s="831">
        <v>2000</v>
      </c>
      <c r="AE155" s="454">
        <v>1</v>
      </c>
      <c r="AF155" s="463">
        <v>0</v>
      </c>
      <c r="AG155" s="455"/>
      <c r="AH155" s="368">
        <f t="shared" si="153"/>
        <v>1</v>
      </c>
      <c r="AI155" s="346">
        <f t="shared" si="154"/>
        <v>39</v>
      </c>
      <c r="AJ155" s="347">
        <f t="shared" si="155"/>
        <v>1</v>
      </c>
      <c r="AK155" s="348">
        <f t="shared" si="156"/>
        <v>39</v>
      </c>
      <c r="AL155" s="345">
        <f t="shared" si="157"/>
        <v>1</v>
      </c>
      <c r="AM155" s="348">
        <f t="shared" si="158"/>
        <v>39</v>
      </c>
      <c r="AN155" s="349" t="str">
        <f t="shared" si="159"/>
        <v>80-100%</v>
      </c>
      <c r="AO155" s="345">
        <f t="shared" si="160"/>
        <v>0</v>
      </c>
      <c r="AP155" s="350">
        <f t="shared" si="161"/>
        <v>0</v>
      </c>
      <c r="AQ155" s="348">
        <f t="shared" si="162"/>
        <v>9.7500000000000003E-2</v>
      </c>
      <c r="AR155" s="348">
        <f t="shared" si="163"/>
        <v>0</v>
      </c>
      <c r="AS155" s="348">
        <f t="shared" si="164"/>
        <v>39</v>
      </c>
      <c r="AT155" s="458">
        <v>1</v>
      </c>
      <c r="AU155" s="808">
        <f t="shared" si="165"/>
        <v>39</v>
      </c>
      <c r="AV155" s="448"/>
      <c r="AW155" s="814">
        <v>80</v>
      </c>
      <c r="AX155" s="449">
        <v>1</v>
      </c>
      <c r="AY155" s="431"/>
      <c r="AZ155" s="431">
        <v>2</v>
      </c>
      <c r="BA155" s="431" t="s">
        <v>889</v>
      </c>
      <c r="BB155" s="442" t="s">
        <v>289</v>
      </c>
      <c r="BC155" s="810">
        <f t="shared" si="166"/>
        <v>1</v>
      </c>
      <c r="BD155" s="348">
        <f t="shared" si="167"/>
        <v>39</v>
      </c>
      <c r="BE155" s="351">
        <f t="shared" si="168"/>
        <v>0</v>
      </c>
      <c r="BF155" s="348">
        <f t="shared" si="169"/>
        <v>0</v>
      </c>
      <c r="BG155" s="351">
        <f t="shared" si="170"/>
        <v>1</v>
      </c>
      <c r="BH155" s="348">
        <f t="shared" si="171"/>
        <v>39</v>
      </c>
      <c r="BI155" s="447">
        <v>1</v>
      </c>
      <c r="BJ155" s="463">
        <v>1</v>
      </c>
      <c r="BK155" s="352">
        <f t="shared" si="184"/>
        <v>39</v>
      </c>
      <c r="BL155" s="353">
        <f t="shared" si="185"/>
        <v>0.95</v>
      </c>
      <c r="BM155" s="431">
        <v>1</v>
      </c>
      <c r="BN155" s="431" t="s">
        <v>89</v>
      </c>
      <c r="BO155" s="351">
        <f t="shared" si="172"/>
        <v>1</v>
      </c>
      <c r="BP155" s="348">
        <f t="shared" si="173"/>
        <v>39</v>
      </c>
      <c r="BQ155" s="353">
        <f t="shared" si="174"/>
        <v>0</v>
      </c>
      <c r="BR155" s="463">
        <v>1</v>
      </c>
      <c r="BS155" s="348">
        <f t="shared" si="175"/>
        <v>39</v>
      </c>
      <c r="BT155" s="431">
        <v>2</v>
      </c>
      <c r="BU155" s="351">
        <f t="shared" si="176"/>
        <v>1</v>
      </c>
      <c r="BV155" s="353">
        <f t="shared" si="177"/>
        <v>0</v>
      </c>
      <c r="BW155" s="451">
        <v>1</v>
      </c>
      <c r="BX155" s="473"/>
      <c r="BY155" s="475">
        <v>42125</v>
      </c>
      <c r="BZ155" s="663" t="s">
        <v>821</v>
      </c>
      <c r="CA155" s="666"/>
      <c r="CB155" s="354">
        <f t="shared" si="178"/>
        <v>42490</v>
      </c>
      <c r="CC155" s="431">
        <v>14</v>
      </c>
      <c r="CD155" s="431">
        <v>8</v>
      </c>
      <c r="CE155" s="355">
        <f t="shared" si="179"/>
        <v>0</v>
      </c>
      <c r="CF155" s="356">
        <f t="shared" si="180"/>
        <v>1</v>
      </c>
      <c r="CG155" s="348">
        <f t="shared" si="181"/>
        <v>39</v>
      </c>
      <c r="CH155" s="641">
        <f t="shared" si="182"/>
        <v>1</v>
      </c>
      <c r="CI155" s="441"/>
      <c r="CJ155" s="451">
        <v>0</v>
      </c>
      <c r="CK155" s="372">
        <f t="shared" si="186"/>
        <v>0</v>
      </c>
      <c r="CL155" s="441">
        <v>1</v>
      </c>
      <c r="CM155" s="357" t="str">
        <f t="shared" si="183"/>
        <v>Excellent coverage</v>
      </c>
      <c r="CN155" s="447">
        <v>0</v>
      </c>
      <c r="CO155" s="753" t="s">
        <v>65</v>
      </c>
      <c r="CP155" s="482"/>
    </row>
    <row r="156" spans="2:94" s="36" customFormat="1" ht="30.75" customHeight="1" x14ac:dyDescent="0.2">
      <c r="B156" s="438" t="s">
        <v>219</v>
      </c>
      <c r="C156" s="430" t="s">
        <v>571</v>
      </c>
      <c r="D156" s="430" t="s">
        <v>313</v>
      </c>
      <c r="E156" s="430" t="s">
        <v>452</v>
      </c>
      <c r="F156" s="430">
        <v>97.418279999999996</v>
      </c>
      <c r="G156" s="430">
        <v>27.310880000000001</v>
      </c>
      <c r="H156" s="430" t="s">
        <v>453</v>
      </c>
      <c r="I156" s="430" t="s">
        <v>213</v>
      </c>
      <c r="J156" s="430" t="s">
        <v>812</v>
      </c>
      <c r="K156" s="430" t="s">
        <v>801</v>
      </c>
      <c r="L156" s="721">
        <v>14</v>
      </c>
      <c r="M156" s="721">
        <v>64</v>
      </c>
      <c r="N156" s="431">
        <v>64</v>
      </c>
      <c r="O156" s="660">
        <v>64</v>
      </c>
      <c r="P156" s="796" t="str">
        <f t="shared" si="150"/>
        <v>1. Small</v>
      </c>
      <c r="Q156" s="797"/>
      <c r="R156" s="432"/>
      <c r="S156" s="793" t="s">
        <v>299</v>
      </c>
      <c r="T156" s="365" t="str">
        <f t="shared" si="151"/>
        <v>Not covered</v>
      </c>
      <c r="U156" s="437" t="s">
        <v>619</v>
      </c>
      <c r="V156" s="783" t="s">
        <v>254</v>
      </c>
      <c r="W156" s="363" t="str">
        <f t="shared" si="152"/>
        <v>Not documented</v>
      </c>
      <c r="X156" s="441">
        <v>0</v>
      </c>
      <c r="Y156" s="431">
        <v>0</v>
      </c>
      <c r="Z156" s="431" t="s">
        <v>19</v>
      </c>
      <c r="AA156" s="442" t="s">
        <v>19</v>
      </c>
      <c r="AB156" s="441">
        <v>1</v>
      </c>
      <c r="AC156" s="447">
        <v>0</v>
      </c>
      <c r="AD156" s="831">
        <v>0</v>
      </c>
      <c r="AE156" s="454">
        <v>0</v>
      </c>
      <c r="AF156" s="463">
        <v>0</v>
      </c>
      <c r="AG156" s="455"/>
      <c r="AH156" s="368">
        <f t="shared" si="153"/>
        <v>1</v>
      </c>
      <c r="AI156" s="346">
        <f t="shared" si="154"/>
        <v>64</v>
      </c>
      <c r="AJ156" s="347">
        <f t="shared" si="155"/>
        <v>1</v>
      </c>
      <c r="AK156" s="348">
        <f t="shared" si="156"/>
        <v>64</v>
      </c>
      <c r="AL156" s="345">
        <f t="shared" si="157"/>
        <v>1</v>
      </c>
      <c r="AM156" s="348">
        <f t="shared" si="158"/>
        <v>64</v>
      </c>
      <c r="AN156" s="349" t="str">
        <f t="shared" si="159"/>
        <v>80-100%</v>
      </c>
      <c r="AO156" s="345">
        <f t="shared" si="160"/>
        <v>0</v>
      </c>
      <c r="AP156" s="350">
        <f t="shared" si="161"/>
        <v>0</v>
      </c>
      <c r="AQ156" s="348">
        <f t="shared" si="162"/>
        <v>0</v>
      </c>
      <c r="AR156" s="348">
        <f t="shared" si="163"/>
        <v>0</v>
      </c>
      <c r="AS156" s="348">
        <f t="shared" si="164"/>
        <v>0</v>
      </c>
      <c r="AT156" s="458">
        <v>1</v>
      </c>
      <c r="AU156" s="459">
        <f t="shared" si="165"/>
        <v>64</v>
      </c>
      <c r="AV156" s="448"/>
      <c r="AW156" s="814">
        <v>0</v>
      </c>
      <c r="AX156" s="449">
        <v>14</v>
      </c>
      <c r="AY156" s="431"/>
      <c r="AZ156" s="431">
        <v>0</v>
      </c>
      <c r="BA156" s="431"/>
      <c r="BB156" s="442" t="s">
        <v>289</v>
      </c>
      <c r="BC156" s="810">
        <f t="shared" si="166"/>
        <v>1</v>
      </c>
      <c r="BD156" s="348">
        <f t="shared" si="167"/>
        <v>64</v>
      </c>
      <c r="BE156" s="351">
        <f t="shared" si="168"/>
        <v>1</v>
      </c>
      <c r="BF156" s="348">
        <f t="shared" si="169"/>
        <v>64</v>
      </c>
      <c r="BG156" s="351">
        <f t="shared" si="170"/>
        <v>0</v>
      </c>
      <c r="BH156" s="348">
        <f t="shared" si="171"/>
        <v>0</v>
      </c>
      <c r="BI156" s="447">
        <v>0</v>
      </c>
      <c r="BJ156" s="463">
        <v>1</v>
      </c>
      <c r="BK156" s="352">
        <f t="shared" si="184"/>
        <v>64</v>
      </c>
      <c r="BL156" s="353">
        <f t="shared" si="185"/>
        <v>3.2</v>
      </c>
      <c r="BM156" s="431">
        <v>0</v>
      </c>
      <c r="BN156" s="431" t="s">
        <v>89</v>
      </c>
      <c r="BO156" s="351">
        <f t="shared" si="172"/>
        <v>0</v>
      </c>
      <c r="BP156" s="348">
        <f t="shared" si="173"/>
        <v>0</v>
      </c>
      <c r="BQ156" s="353">
        <f t="shared" si="174"/>
        <v>0.64</v>
      </c>
      <c r="BR156" s="458">
        <v>0</v>
      </c>
      <c r="BS156" s="348">
        <f t="shared" si="175"/>
        <v>0</v>
      </c>
      <c r="BT156" s="447">
        <v>0</v>
      </c>
      <c r="BU156" s="351">
        <f t="shared" si="176"/>
        <v>0</v>
      </c>
      <c r="BV156" s="353">
        <f t="shared" si="177"/>
        <v>0.64</v>
      </c>
      <c r="BW156" s="451">
        <v>0</v>
      </c>
      <c r="BX156" s="473"/>
      <c r="BY156" s="475"/>
      <c r="BZ156" s="663" t="s">
        <v>825</v>
      </c>
      <c r="CA156" s="666">
        <v>0</v>
      </c>
      <c r="CB156" s="354" t="str">
        <f t="shared" si="178"/>
        <v>To be realised</v>
      </c>
      <c r="CC156" s="431">
        <v>0</v>
      </c>
      <c r="CD156" s="431">
        <v>0</v>
      </c>
      <c r="CE156" s="355">
        <f t="shared" si="179"/>
        <v>14</v>
      </c>
      <c r="CF156" s="356">
        <f t="shared" si="180"/>
        <v>0</v>
      </c>
      <c r="CG156" s="348">
        <f t="shared" si="181"/>
        <v>0</v>
      </c>
      <c r="CH156" s="641" t="str">
        <f t="shared" si="182"/>
        <v>Column BN to be completed</v>
      </c>
      <c r="CI156" s="441"/>
      <c r="CJ156" s="453">
        <v>0</v>
      </c>
      <c r="CK156" s="372">
        <f t="shared" si="186"/>
        <v>0</v>
      </c>
      <c r="CL156" s="441">
        <v>2</v>
      </c>
      <c r="CM156" s="357" t="str">
        <f t="shared" si="183"/>
        <v>Excellent coverage</v>
      </c>
      <c r="CN156" s="447">
        <v>0</v>
      </c>
      <c r="CO156" s="753" t="s">
        <v>292</v>
      </c>
      <c r="CP156" s="482"/>
    </row>
    <row r="157" spans="2:94" s="36" customFormat="1" ht="30.75" customHeight="1" x14ac:dyDescent="0.2">
      <c r="B157" s="438" t="s">
        <v>219</v>
      </c>
      <c r="C157" s="430" t="s">
        <v>760</v>
      </c>
      <c r="D157" s="430" t="s">
        <v>313</v>
      </c>
      <c r="E157" s="430" t="s">
        <v>761</v>
      </c>
      <c r="F157" s="430"/>
      <c r="G157" s="430"/>
      <c r="H157" s="430" t="s">
        <v>442</v>
      </c>
      <c r="I157" s="430" t="s">
        <v>213</v>
      </c>
      <c r="J157" s="430" t="s">
        <v>814</v>
      </c>
      <c r="K157" s="430" t="s">
        <v>800</v>
      </c>
      <c r="L157" s="721">
        <v>91</v>
      </c>
      <c r="M157" s="721">
        <v>400</v>
      </c>
      <c r="N157" s="431">
        <v>310</v>
      </c>
      <c r="O157" s="660">
        <v>310</v>
      </c>
      <c r="P157" s="796" t="str">
        <f t="shared" si="150"/>
        <v>2. Medium</v>
      </c>
      <c r="Q157" s="797" t="s">
        <v>330</v>
      </c>
      <c r="R157" s="432" t="s">
        <v>234</v>
      </c>
      <c r="S157" s="793" t="s">
        <v>299</v>
      </c>
      <c r="T157" s="365" t="str">
        <f t="shared" si="151"/>
        <v>Not covered</v>
      </c>
      <c r="U157" s="437" t="s">
        <v>619</v>
      </c>
      <c r="V157" s="783" t="s">
        <v>254</v>
      </c>
      <c r="W157" s="363" t="str">
        <f t="shared" si="152"/>
        <v>Not documented</v>
      </c>
      <c r="X157" s="441">
        <v>0</v>
      </c>
      <c r="Y157" s="431">
        <v>0</v>
      </c>
      <c r="Z157" s="431" t="s">
        <v>18</v>
      </c>
      <c r="AA157" s="442" t="s">
        <v>19</v>
      </c>
      <c r="AB157" s="441">
        <v>1</v>
      </c>
      <c r="AC157" s="447">
        <v>0</v>
      </c>
      <c r="AD157" s="831">
        <v>0</v>
      </c>
      <c r="AE157" s="454">
        <v>0</v>
      </c>
      <c r="AF157" s="463">
        <v>0</v>
      </c>
      <c r="AG157" s="455"/>
      <c r="AH157" s="368">
        <f t="shared" si="153"/>
        <v>1</v>
      </c>
      <c r="AI157" s="346">
        <f t="shared" si="154"/>
        <v>310</v>
      </c>
      <c r="AJ157" s="347">
        <f t="shared" si="155"/>
        <v>1</v>
      </c>
      <c r="AK157" s="348">
        <f t="shared" si="156"/>
        <v>310</v>
      </c>
      <c r="AL157" s="345">
        <f t="shared" si="157"/>
        <v>1</v>
      </c>
      <c r="AM157" s="348">
        <f t="shared" si="158"/>
        <v>310</v>
      </c>
      <c r="AN157" s="349" t="str">
        <f t="shared" si="159"/>
        <v>80-100%</v>
      </c>
      <c r="AO157" s="345">
        <f t="shared" si="160"/>
        <v>0</v>
      </c>
      <c r="AP157" s="350">
        <f t="shared" si="161"/>
        <v>0</v>
      </c>
      <c r="AQ157" s="348">
        <f t="shared" si="162"/>
        <v>0</v>
      </c>
      <c r="AR157" s="348">
        <f t="shared" si="163"/>
        <v>0</v>
      </c>
      <c r="AS157" s="348">
        <f t="shared" si="164"/>
        <v>0</v>
      </c>
      <c r="AT157" s="458">
        <v>1</v>
      </c>
      <c r="AU157" s="808">
        <f t="shared" si="165"/>
        <v>310</v>
      </c>
      <c r="AV157" s="448"/>
      <c r="AW157" s="814">
        <v>0</v>
      </c>
      <c r="AX157" s="449">
        <v>8</v>
      </c>
      <c r="AY157" s="431"/>
      <c r="AZ157" s="431">
        <v>10</v>
      </c>
      <c r="BA157" s="431" t="s">
        <v>890</v>
      </c>
      <c r="BB157" s="442" t="s">
        <v>289</v>
      </c>
      <c r="BC157" s="810">
        <f t="shared" si="166"/>
        <v>1</v>
      </c>
      <c r="BD157" s="348">
        <f t="shared" si="167"/>
        <v>310</v>
      </c>
      <c r="BE157" s="351">
        <f t="shared" si="168"/>
        <v>0.35483870967741937</v>
      </c>
      <c r="BF157" s="348">
        <f t="shared" si="169"/>
        <v>110</v>
      </c>
      <c r="BG157" s="351">
        <f t="shared" si="170"/>
        <v>0.64516129032258063</v>
      </c>
      <c r="BH157" s="348">
        <f t="shared" si="171"/>
        <v>200</v>
      </c>
      <c r="BI157" s="447">
        <v>0</v>
      </c>
      <c r="BJ157" s="463">
        <v>1</v>
      </c>
      <c r="BK157" s="352">
        <f t="shared" si="184"/>
        <v>310</v>
      </c>
      <c r="BL157" s="353">
        <f t="shared" si="185"/>
        <v>5.5</v>
      </c>
      <c r="BM157" s="431">
        <v>2</v>
      </c>
      <c r="BN157" s="431" t="s">
        <v>290</v>
      </c>
      <c r="BO157" s="351">
        <f t="shared" si="172"/>
        <v>0.64516129032258063</v>
      </c>
      <c r="BP157" s="348">
        <f t="shared" si="173"/>
        <v>200</v>
      </c>
      <c r="BQ157" s="353">
        <f t="shared" si="174"/>
        <v>2</v>
      </c>
      <c r="BR157" s="463">
        <v>1</v>
      </c>
      <c r="BS157" s="348">
        <f t="shared" si="175"/>
        <v>310</v>
      </c>
      <c r="BT157" s="431">
        <v>2</v>
      </c>
      <c r="BU157" s="351">
        <f t="shared" si="176"/>
        <v>0.64516129032258063</v>
      </c>
      <c r="BV157" s="353">
        <f t="shared" si="177"/>
        <v>2</v>
      </c>
      <c r="BW157" s="451">
        <v>0.65</v>
      </c>
      <c r="BX157" s="473" t="s">
        <v>944</v>
      </c>
      <c r="BY157" s="475">
        <v>42129</v>
      </c>
      <c r="BZ157" s="663" t="s">
        <v>821</v>
      </c>
      <c r="CA157" s="666"/>
      <c r="CB157" s="354">
        <f t="shared" si="178"/>
        <v>42494</v>
      </c>
      <c r="CC157" s="431">
        <v>80</v>
      </c>
      <c r="CD157" s="431">
        <v>4</v>
      </c>
      <c r="CE157" s="355">
        <f t="shared" si="179"/>
        <v>11</v>
      </c>
      <c r="CF157" s="356">
        <f t="shared" si="180"/>
        <v>0.87912087912087911</v>
      </c>
      <c r="CG157" s="348">
        <f t="shared" si="181"/>
        <v>272.52747252747253</v>
      </c>
      <c r="CH157" s="641">
        <f t="shared" si="182"/>
        <v>5</v>
      </c>
      <c r="CI157" s="441"/>
      <c r="CJ157" s="453">
        <v>0</v>
      </c>
      <c r="CK157" s="372">
        <f t="shared" si="186"/>
        <v>0</v>
      </c>
      <c r="CL157" s="441">
        <v>2</v>
      </c>
      <c r="CM157" s="357" t="str">
        <f t="shared" si="183"/>
        <v>Excellent coverage</v>
      </c>
      <c r="CN157" s="447">
        <v>0</v>
      </c>
      <c r="CO157" s="753" t="s">
        <v>292</v>
      </c>
      <c r="CP157" s="482"/>
    </row>
    <row r="158" spans="2:94" s="36" customFormat="1" ht="30.75" customHeight="1" x14ac:dyDescent="0.2">
      <c r="B158" s="438" t="s">
        <v>219</v>
      </c>
      <c r="C158" s="430" t="s">
        <v>677</v>
      </c>
      <c r="D158" s="430" t="s">
        <v>313</v>
      </c>
      <c r="E158" s="430" t="s">
        <v>655</v>
      </c>
      <c r="F158" s="430">
        <v>97.561105999999995</v>
      </c>
      <c r="G158" s="430">
        <v>27.248964999999998</v>
      </c>
      <c r="H158" s="430" t="s">
        <v>453</v>
      </c>
      <c r="I158" s="430" t="s">
        <v>213</v>
      </c>
      <c r="J158" s="430" t="s">
        <v>814</v>
      </c>
      <c r="K158" s="430" t="s">
        <v>801</v>
      </c>
      <c r="L158" s="721">
        <v>10</v>
      </c>
      <c r="M158" s="721">
        <v>56</v>
      </c>
      <c r="N158" s="431">
        <v>52</v>
      </c>
      <c r="O158" s="660">
        <v>52</v>
      </c>
      <c r="P158" s="796" t="str">
        <f t="shared" si="150"/>
        <v>1. Small</v>
      </c>
      <c r="Q158" s="797"/>
      <c r="R158" s="432"/>
      <c r="S158" s="793" t="s">
        <v>299</v>
      </c>
      <c r="T158" s="365" t="str">
        <f t="shared" si="151"/>
        <v>Not covered</v>
      </c>
      <c r="U158" s="437" t="s">
        <v>619</v>
      </c>
      <c r="V158" s="783" t="s">
        <v>254</v>
      </c>
      <c r="W158" s="363" t="str">
        <f t="shared" si="152"/>
        <v>Not documented</v>
      </c>
      <c r="X158" s="441">
        <v>0</v>
      </c>
      <c r="Y158" s="431">
        <v>0</v>
      </c>
      <c r="Z158" s="431" t="s">
        <v>19</v>
      </c>
      <c r="AA158" s="442" t="s">
        <v>19</v>
      </c>
      <c r="AB158" s="441">
        <v>1</v>
      </c>
      <c r="AC158" s="447">
        <v>0</v>
      </c>
      <c r="AD158" s="831">
        <v>0</v>
      </c>
      <c r="AE158" s="454">
        <v>0</v>
      </c>
      <c r="AF158" s="463">
        <v>0</v>
      </c>
      <c r="AG158" s="455"/>
      <c r="AH158" s="368">
        <f t="shared" si="153"/>
        <v>1</v>
      </c>
      <c r="AI158" s="346">
        <f t="shared" si="154"/>
        <v>52</v>
      </c>
      <c r="AJ158" s="347">
        <f t="shared" si="155"/>
        <v>1</v>
      </c>
      <c r="AK158" s="348">
        <f t="shared" si="156"/>
        <v>52</v>
      </c>
      <c r="AL158" s="345">
        <f t="shared" si="157"/>
        <v>1</v>
      </c>
      <c r="AM158" s="348">
        <f t="shared" si="158"/>
        <v>52</v>
      </c>
      <c r="AN158" s="349" t="str">
        <f t="shared" si="159"/>
        <v>80-100%</v>
      </c>
      <c r="AO158" s="345">
        <f t="shared" si="160"/>
        <v>0</v>
      </c>
      <c r="AP158" s="350">
        <f t="shared" si="161"/>
        <v>0</v>
      </c>
      <c r="AQ158" s="348">
        <f t="shared" si="162"/>
        <v>0</v>
      </c>
      <c r="AR158" s="348">
        <f t="shared" si="163"/>
        <v>0</v>
      </c>
      <c r="AS158" s="348">
        <f t="shared" si="164"/>
        <v>0</v>
      </c>
      <c r="AT158" s="458">
        <v>1</v>
      </c>
      <c r="AU158" s="808">
        <f t="shared" si="165"/>
        <v>52</v>
      </c>
      <c r="AV158" s="448"/>
      <c r="AW158" s="814">
        <v>0</v>
      </c>
      <c r="AX158" s="449">
        <v>10</v>
      </c>
      <c r="AY158" s="431"/>
      <c r="AZ158" s="431">
        <v>0</v>
      </c>
      <c r="BA158" s="431"/>
      <c r="BB158" s="442" t="s">
        <v>289</v>
      </c>
      <c r="BC158" s="810">
        <f t="shared" si="166"/>
        <v>1</v>
      </c>
      <c r="BD158" s="348">
        <f t="shared" si="167"/>
        <v>52</v>
      </c>
      <c r="BE158" s="351">
        <f t="shared" si="168"/>
        <v>1</v>
      </c>
      <c r="BF158" s="348">
        <f t="shared" si="169"/>
        <v>52</v>
      </c>
      <c r="BG158" s="351">
        <f t="shared" si="170"/>
        <v>0</v>
      </c>
      <c r="BH158" s="348">
        <f t="shared" si="171"/>
        <v>0</v>
      </c>
      <c r="BI158" s="447">
        <v>0</v>
      </c>
      <c r="BJ158" s="463">
        <v>1</v>
      </c>
      <c r="BK158" s="352">
        <f t="shared" si="184"/>
        <v>52</v>
      </c>
      <c r="BL158" s="353">
        <f t="shared" si="185"/>
        <v>2.6</v>
      </c>
      <c r="BM158" s="431">
        <v>0</v>
      </c>
      <c r="BN158" s="431" t="s">
        <v>89</v>
      </c>
      <c r="BO158" s="351">
        <f t="shared" si="172"/>
        <v>0</v>
      </c>
      <c r="BP158" s="348">
        <f t="shared" si="173"/>
        <v>0</v>
      </c>
      <c r="BQ158" s="353">
        <f t="shared" si="174"/>
        <v>0.56000000000000005</v>
      </c>
      <c r="BR158" s="463">
        <v>0</v>
      </c>
      <c r="BS158" s="348">
        <f t="shared" si="175"/>
        <v>0</v>
      </c>
      <c r="BT158" s="431">
        <v>0</v>
      </c>
      <c r="BU158" s="351">
        <f t="shared" si="176"/>
        <v>0</v>
      </c>
      <c r="BV158" s="353">
        <f t="shared" si="177"/>
        <v>0.56000000000000005</v>
      </c>
      <c r="BW158" s="451">
        <v>0</v>
      </c>
      <c r="BX158" s="473"/>
      <c r="BY158" s="475"/>
      <c r="BZ158" s="663" t="s">
        <v>825</v>
      </c>
      <c r="CA158" s="666">
        <v>0</v>
      </c>
      <c r="CB158" s="354" t="str">
        <f t="shared" si="178"/>
        <v>To be realised</v>
      </c>
      <c r="CC158" s="431">
        <v>0</v>
      </c>
      <c r="CD158" s="431">
        <v>0</v>
      </c>
      <c r="CE158" s="355">
        <f t="shared" si="179"/>
        <v>10</v>
      </c>
      <c r="CF158" s="356">
        <f t="shared" si="180"/>
        <v>0</v>
      </c>
      <c r="CG158" s="348">
        <f t="shared" si="181"/>
        <v>0</v>
      </c>
      <c r="CH158" s="641" t="str">
        <f t="shared" si="182"/>
        <v>Column BN to be completed</v>
      </c>
      <c r="CI158" s="441"/>
      <c r="CJ158" s="453">
        <v>0</v>
      </c>
      <c r="CK158" s="372">
        <f t="shared" si="186"/>
        <v>0</v>
      </c>
      <c r="CL158" s="441">
        <v>2</v>
      </c>
      <c r="CM158" s="357" t="str">
        <f t="shared" si="183"/>
        <v>Excellent coverage</v>
      </c>
      <c r="CN158" s="447">
        <v>0</v>
      </c>
      <c r="CO158" s="753" t="s">
        <v>65</v>
      </c>
      <c r="CP158" s="482"/>
    </row>
    <row r="159" spans="2:94" s="36" customFormat="1" ht="30.75" customHeight="1" x14ac:dyDescent="0.2">
      <c r="B159" s="438" t="s">
        <v>218</v>
      </c>
      <c r="C159" s="430" t="s">
        <v>674</v>
      </c>
      <c r="D159" s="430" t="s">
        <v>259</v>
      </c>
      <c r="E159" s="430" t="s">
        <v>195</v>
      </c>
      <c r="F159" s="430"/>
      <c r="G159" s="430"/>
      <c r="H159" s="430" t="s">
        <v>442</v>
      </c>
      <c r="I159" s="430" t="s">
        <v>221</v>
      </c>
      <c r="J159" s="430" t="s">
        <v>814</v>
      </c>
      <c r="K159" s="430" t="s">
        <v>800</v>
      </c>
      <c r="L159" s="721">
        <v>375</v>
      </c>
      <c r="M159" s="721">
        <v>1691</v>
      </c>
      <c r="N159" s="431">
        <v>68</v>
      </c>
      <c r="O159" s="660">
        <v>68</v>
      </c>
      <c r="P159" s="796" t="str">
        <f t="shared" si="150"/>
        <v>3. Large</v>
      </c>
      <c r="Q159" s="797" t="s">
        <v>828</v>
      </c>
      <c r="R159" s="432" t="s">
        <v>230</v>
      </c>
      <c r="S159" s="793" t="s">
        <v>299</v>
      </c>
      <c r="T159" s="365" t="str">
        <f t="shared" si="151"/>
        <v>Not covered</v>
      </c>
      <c r="U159" s="437" t="s">
        <v>619</v>
      </c>
      <c r="V159" s="783" t="s">
        <v>254</v>
      </c>
      <c r="W159" s="363" t="str">
        <f t="shared" si="152"/>
        <v>Not documented</v>
      </c>
      <c r="X159" s="441">
        <v>0</v>
      </c>
      <c r="Y159" s="431">
        <v>0</v>
      </c>
      <c r="Z159" s="431" t="s">
        <v>19</v>
      </c>
      <c r="AA159" s="442" t="s">
        <v>19</v>
      </c>
      <c r="AB159" s="441">
        <v>0</v>
      </c>
      <c r="AC159" s="447">
        <v>0</v>
      </c>
      <c r="AD159" s="831">
        <v>1500</v>
      </c>
      <c r="AE159" s="454">
        <v>0</v>
      </c>
      <c r="AF159" s="463">
        <v>0</v>
      </c>
      <c r="AG159" s="455"/>
      <c r="AH159" s="368">
        <f t="shared" si="153"/>
        <v>1</v>
      </c>
      <c r="AI159" s="346">
        <f t="shared" si="154"/>
        <v>68</v>
      </c>
      <c r="AJ159" s="347">
        <f t="shared" si="155"/>
        <v>1</v>
      </c>
      <c r="AK159" s="348">
        <f t="shared" si="156"/>
        <v>68</v>
      </c>
      <c r="AL159" s="345">
        <f t="shared" si="157"/>
        <v>1</v>
      </c>
      <c r="AM159" s="348">
        <f t="shared" si="158"/>
        <v>68</v>
      </c>
      <c r="AN159" s="349" t="str">
        <f t="shared" si="159"/>
        <v>80-100%</v>
      </c>
      <c r="AO159" s="345">
        <f t="shared" si="160"/>
        <v>0</v>
      </c>
      <c r="AP159" s="350">
        <f t="shared" si="161"/>
        <v>0</v>
      </c>
      <c r="AQ159" s="348">
        <f t="shared" si="162"/>
        <v>0.17</v>
      </c>
      <c r="AR159" s="348">
        <f t="shared" si="163"/>
        <v>0</v>
      </c>
      <c r="AS159" s="348">
        <f t="shared" si="164"/>
        <v>0</v>
      </c>
      <c r="AT159" s="458">
        <v>1</v>
      </c>
      <c r="AU159" s="808">
        <f t="shared" si="165"/>
        <v>68</v>
      </c>
      <c r="AV159" s="448"/>
      <c r="AW159" s="814">
        <v>0</v>
      </c>
      <c r="AX159" s="449">
        <v>0</v>
      </c>
      <c r="AY159" s="431"/>
      <c r="AZ159" s="431">
        <v>3</v>
      </c>
      <c r="BA159" s="431" t="s">
        <v>888</v>
      </c>
      <c r="BB159" s="442" t="s">
        <v>289</v>
      </c>
      <c r="BC159" s="810">
        <f t="shared" si="166"/>
        <v>0.88235294117647056</v>
      </c>
      <c r="BD159" s="348">
        <f t="shared" si="167"/>
        <v>60</v>
      </c>
      <c r="BE159" s="351">
        <f t="shared" si="168"/>
        <v>0</v>
      </c>
      <c r="BF159" s="348">
        <f t="shared" si="169"/>
        <v>0</v>
      </c>
      <c r="BG159" s="351">
        <f t="shared" si="170"/>
        <v>0.88235294117647056</v>
      </c>
      <c r="BH159" s="348">
        <f t="shared" si="171"/>
        <v>60</v>
      </c>
      <c r="BI159" s="447">
        <v>0</v>
      </c>
      <c r="BJ159" s="463">
        <v>0.89</v>
      </c>
      <c r="BK159" s="352">
        <f t="shared" si="184"/>
        <v>60.52</v>
      </c>
      <c r="BL159" s="353">
        <f t="shared" si="185"/>
        <v>0.39999999999999991</v>
      </c>
      <c r="BM159" s="431">
        <v>0</v>
      </c>
      <c r="BN159" s="431" t="s">
        <v>89</v>
      </c>
      <c r="BO159" s="351">
        <f t="shared" si="172"/>
        <v>0</v>
      </c>
      <c r="BP159" s="348">
        <f t="shared" si="173"/>
        <v>0</v>
      </c>
      <c r="BQ159" s="353">
        <f t="shared" si="174"/>
        <v>16.91</v>
      </c>
      <c r="BR159" s="463">
        <v>0</v>
      </c>
      <c r="BS159" s="348">
        <f t="shared" si="175"/>
        <v>0</v>
      </c>
      <c r="BT159" s="431">
        <v>0</v>
      </c>
      <c r="BU159" s="351">
        <f t="shared" si="176"/>
        <v>0</v>
      </c>
      <c r="BV159" s="353">
        <f t="shared" si="177"/>
        <v>16.91</v>
      </c>
      <c r="BW159" s="451">
        <v>0</v>
      </c>
      <c r="BX159" s="473"/>
      <c r="BY159" s="475"/>
      <c r="BZ159" s="663" t="s">
        <v>821</v>
      </c>
      <c r="CA159" s="666">
        <v>0</v>
      </c>
      <c r="CB159" s="354" t="str">
        <f t="shared" si="178"/>
        <v>To be realised</v>
      </c>
      <c r="CC159" s="431">
        <v>0</v>
      </c>
      <c r="CD159" s="431">
        <v>0</v>
      </c>
      <c r="CE159" s="355">
        <f t="shared" si="179"/>
        <v>375</v>
      </c>
      <c r="CF159" s="356">
        <f t="shared" si="180"/>
        <v>0</v>
      </c>
      <c r="CG159" s="348">
        <f t="shared" si="181"/>
        <v>0</v>
      </c>
      <c r="CH159" s="641" t="str">
        <f t="shared" si="182"/>
        <v>Column BN to be completed</v>
      </c>
      <c r="CI159" s="441"/>
      <c r="CJ159" s="453">
        <v>0</v>
      </c>
      <c r="CK159" s="372">
        <f t="shared" si="186"/>
        <v>0</v>
      </c>
      <c r="CL159" s="441">
        <v>2</v>
      </c>
      <c r="CM159" s="357" t="str">
        <f t="shared" si="183"/>
        <v>Excellent coverage</v>
      </c>
      <c r="CN159" s="447">
        <v>0</v>
      </c>
      <c r="CO159" s="753" t="s">
        <v>65</v>
      </c>
      <c r="CP159" s="482"/>
    </row>
    <row r="160" spans="2:94" s="36" customFormat="1" ht="30.75" customHeight="1" x14ac:dyDescent="0.2">
      <c r="B160" s="438" t="s">
        <v>218</v>
      </c>
      <c r="C160" s="430" t="s">
        <v>572</v>
      </c>
      <c r="D160" s="430" t="s">
        <v>259</v>
      </c>
      <c r="E160" s="430" t="s">
        <v>196</v>
      </c>
      <c r="F160" s="430">
        <v>96.807353000000006</v>
      </c>
      <c r="G160" s="430">
        <v>24.200361000000001</v>
      </c>
      <c r="H160" s="430" t="s">
        <v>442</v>
      </c>
      <c r="I160" s="430" t="s">
        <v>213</v>
      </c>
      <c r="J160" s="430" t="s">
        <v>812</v>
      </c>
      <c r="K160" s="430" t="s">
        <v>800</v>
      </c>
      <c r="L160" s="721">
        <v>80</v>
      </c>
      <c r="M160" s="721">
        <v>279</v>
      </c>
      <c r="N160" s="431">
        <v>306</v>
      </c>
      <c r="O160" s="660">
        <v>306</v>
      </c>
      <c r="P160" s="796" t="str">
        <f t="shared" si="150"/>
        <v>2. Medium</v>
      </c>
      <c r="Q160" s="797" t="s">
        <v>937</v>
      </c>
      <c r="R160" s="432" t="s">
        <v>234</v>
      </c>
      <c r="S160" s="436" t="s">
        <v>232</v>
      </c>
      <c r="T160" s="365" t="str">
        <f t="shared" si="151"/>
        <v>Covered</v>
      </c>
      <c r="U160" s="437">
        <v>42521</v>
      </c>
      <c r="V160" s="784" t="s">
        <v>252</v>
      </c>
      <c r="W160" s="363" t="str">
        <f t="shared" si="152"/>
        <v>Documented</v>
      </c>
      <c r="X160" s="441">
        <v>0</v>
      </c>
      <c r="Y160" s="431">
        <v>0</v>
      </c>
      <c r="Z160" s="431" t="s">
        <v>19</v>
      </c>
      <c r="AA160" s="442" t="s">
        <v>19</v>
      </c>
      <c r="AB160" s="441">
        <v>0</v>
      </c>
      <c r="AC160" s="447">
        <v>1</v>
      </c>
      <c r="AD160" s="831">
        <v>11745</v>
      </c>
      <c r="AE160" s="454">
        <v>0.01</v>
      </c>
      <c r="AF160" s="463">
        <v>0</v>
      </c>
      <c r="AG160" s="455"/>
      <c r="AH160" s="368">
        <f t="shared" si="153"/>
        <v>1</v>
      </c>
      <c r="AI160" s="346">
        <f t="shared" si="154"/>
        <v>306</v>
      </c>
      <c r="AJ160" s="347">
        <f t="shared" si="155"/>
        <v>1</v>
      </c>
      <c r="AK160" s="348">
        <f t="shared" si="156"/>
        <v>306</v>
      </c>
      <c r="AL160" s="345">
        <f t="shared" si="157"/>
        <v>1</v>
      </c>
      <c r="AM160" s="348">
        <f t="shared" si="158"/>
        <v>306</v>
      </c>
      <c r="AN160" s="349" t="str">
        <f t="shared" si="159"/>
        <v>80-100%</v>
      </c>
      <c r="AO160" s="345">
        <f t="shared" si="160"/>
        <v>0</v>
      </c>
      <c r="AP160" s="350">
        <f t="shared" si="161"/>
        <v>0</v>
      </c>
      <c r="AQ160" s="348">
        <f t="shared" si="162"/>
        <v>0</v>
      </c>
      <c r="AR160" s="348">
        <f t="shared" si="163"/>
        <v>0</v>
      </c>
      <c r="AS160" s="348">
        <f t="shared" si="164"/>
        <v>3.06</v>
      </c>
      <c r="AT160" s="458">
        <v>1</v>
      </c>
      <c r="AU160" s="808">
        <f t="shared" si="165"/>
        <v>306</v>
      </c>
      <c r="AV160" s="448"/>
      <c r="AW160" s="814">
        <v>6</v>
      </c>
      <c r="AX160" s="449">
        <v>7</v>
      </c>
      <c r="AY160" s="431"/>
      <c r="AZ160" s="431">
        <v>8</v>
      </c>
      <c r="BA160" s="431" t="s">
        <v>888</v>
      </c>
      <c r="BB160" s="442" t="s">
        <v>289</v>
      </c>
      <c r="BC160" s="810">
        <f t="shared" si="166"/>
        <v>0.98039215686274506</v>
      </c>
      <c r="BD160" s="348">
        <f t="shared" si="167"/>
        <v>300</v>
      </c>
      <c r="BE160" s="351">
        <f t="shared" si="168"/>
        <v>0.45751633986928097</v>
      </c>
      <c r="BF160" s="348">
        <f t="shared" si="169"/>
        <v>139.99999999999997</v>
      </c>
      <c r="BG160" s="351">
        <f t="shared" si="170"/>
        <v>0.52287581699346408</v>
      </c>
      <c r="BH160" s="348">
        <f t="shared" si="171"/>
        <v>160</v>
      </c>
      <c r="BI160" s="447">
        <v>0</v>
      </c>
      <c r="BJ160" s="463">
        <v>1</v>
      </c>
      <c r="BK160" s="352">
        <f t="shared" si="184"/>
        <v>306</v>
      </c>
      <c r="BL160" s="353">
        <f t="shared" si="185"/>
        <v>7.3000000000000007</v>
      </c>
      <c r="BM160" s="431">
        <v>5</v>
      </c>
      <c r="BN160" s="431" t="s">
        <v>89</v>
      </c>
      <c r="BO160" s="351">
        <f t="shared" si="172"/>
        <v>1</v>
      </c>
      <c r="BP160" s="348">
        <f t="shared" si="173"/>
        <v>306</v>
      </c>
      <c r="BQ160" s="353">
        <f t="shared" si="174"/>
        <v>0</v>
      </c>
      <c r="BR160" s="463">
        <v>1</v>
      </c>
      <c r="BS160" s="348">
        <f t="shared" si="175"/>
        <v>306</v>
      </c>
      <c r="BT160" s="431">
        <v>4</v>
      </c>
      <c r="BU160" s="351">
        <f t="shared" si="176"/>
        <v>1</v>
      </c>
      <c r="BV160" s="353">
        <f t="shared" si="177"/>
        <v>0</v>
      </c>
      <c r="BW160" s="451">
        <v>1</v>
      </c>
      <c r="BX160" s="473"/>
      <c r="BY160" s="475">
        <v>41779</v>
      </c>
      <c r="BZ160" s="663" t="s">
        <v>821</v>
      </c>
      <c r="CA160" s="666">
        <v>0</v>
      </c>
      <c r="CB160" s="354" t="str">
        <f t="shared" si="178"/>
        <v>To be realised</v>
      </c>
      <c r="CC160" s="431">
        <v>70</v>
      </c>
      <c r="CD160" s="431">
        <v>10</v>
      </c>
      <c r="CE160" s="355">
        <f t="shared" si="179"/>
        <v>80</v>
      </c>
      <c r="CF160" s="356">
        <f t="shared" si="180"/>
        <v>0</v>
      </c>
      <c r="CG160" s="348">
        <f t="shared" si="181"/>
        <v>0</v>
      </c>
      <c r="CH160" s="641">
        <f t="shared" si="182"/>
        <v>11</v>
      </c>
      <c r="CI160" s="441"/>
      <c r="CJ160" s="451">
        <v>1</v>
      </c>
      <c r="CK160" s="372">
        <f t="shared" si="186"/>
        <v>306</v>
      </c>
      <c r="CL160" s="441">
        <v>1</v>
      </c>
      <c r="CM160" s="357" t="str">
        <f t="shared" si="183"/>
        <v>Excellent coverage</v>
      </c>
      <c r="CN160" s="447">
        <v>0</v>
      </c>
      <c r="CO160" s="753" t="s">
        <v>65</v>
      </c>
      <c r="CP160" s="482"/>
    </row>
    <row r="161" spans="2:94" s="36" customFormat="1" ht="30.75" customHeight="1" x14ac:dyDescent="0.2">
      <c r="B161" s="438" t="s">
        <v>218</v>
      </c>
      <c r="C161" s="430" t="s">
        <v>573</v>
      </c>
      <c r="D161" s="430" t="s">
        <v>259</v>
      </c>
      <c r="E161" s="430" t="s">
        <v>197</v>
      </c>
      <c r="F161" s="430">
        <v>96.807353000000006</v>
      </c>
      <c r="G161" s="430">
        <v>24.200367</v>
      </c>
      <c r="H161" s="430" t="s">
        <v>442</v>
      </c>
      <c r="I161" s="430" t="s">
        <v>213</v>
      </c>
      <c r="J161" s="430" t="s">
        <v>812</v>
      </c>
      <c r="K161" s="430" t="s">
        <v>800</v>
      </c>
      <c r="L161" s="721">
        <v>40</v>
      </c>
      <c r="M161" s="721">
        <v>208</v>
      </c>
      <c r="N161" s="431">
        <v>218</v>
      </c>
      <c r="O161" s="660">
        <v>218</v>
      </c>
      <c r="P161" s="796" t="str">
        <f t="shared" si="150"/>
        <v>1. Small</v>
      </c>
      <c r="Q161" s="797" t="s">
        <v>937</v>
      </c>
      <c r="R161" s="432" t="s">
        <v>230</v>
      </c>
      <c r="S161" s="436" t="s">
        <v>232</v>
      </c>
      <c r="T161" s="365" t="str">
        <f t="shared" si="151"/>
        <v>Covered</v>
      </c>
      <c r="U161" s="437">
        <v>42521</v>
      </c>
      <c r="V161" s="784" t="s">
        <v>252</v>
      </c>
      <c r="W161" s="363" t="str">
        <f t="shared" si="152"/>
        <v>Documented</v>
      </c>
      <c r="X161" s="441">
        <v>0</v>
      </c>
      <c r="Y161" s="431">
        <v>0</v>
      </c>
      <c r="Z161" s="431" t="s">
        <v>19</v>
      </c>
      <c r="AA161" s="442" t="s">
        <v>19</v>
      </c>
      <c r="AB161" s="441">
        <v>0</v>
      </c>
      <c r="AC161" s="447">
        <v>3</v>
      </c>
      <c r="AD161" s="831">
        <v>4000</v>
      </c>
      <c r="AE161" s="454">
        <v>0</v>
      </c>
      <c r="AF161" s="463">
        <v>0</v>
      </c>
      <c r="AG161" s="455"/>
      <c r="AH161" s="368">
        <f t="shared" si="153"/>
        <v>1</v>
      </c>
      <c r="AI161" s="346">
        <f t="shared" si="154"/>
        <v>218</v>
      </c>
      <c r="AJ161" s="347">
        <f t="shared" si="155"/>
        <v>1</v>
      </c>
      <c r="AK161" s="348">
        <f t="shared" si="156"/>
        <v>218</v>
      </c>
      <c r="AL161" s="345">
        <f t="shared" si="157"/>
        <v>1</v>
      </c>
      <c r="AM161" s="348">
        <f t="shared" si="158"/>
        <v>218</v>
      </c>
      <c r="AN161" s="349" t="str">
        <f t="shared" si="159"/>
        <v>80-100%</v>
      </c>
      <c r="AO161" s="345">
        <f t="shared" si="160"/>
        <v>0</v>
      </c>
      <c r="AP161" s="350">
        <f t="shared" si="161"/>
        <v>0</v>
      </c>
      <c r="AQ161" s="348">
        <f t="shared" si="162"/>
        <v>0</v>
      </c>
      <c r="AR161" s="348">
        <f t="shared" si="163"/>
        <v>0</v>
      </c>
      <c r="AS161" s="348">
        <f t="shared" si="164"/>
        <v>0</v>
      </c>
      <c r="AT161" s="458">
        <v>1</v>
      </c>
      <c r="AU161" s="459">
        <f t="shared" si="165"/>
        <v>218</v>
      </c>
      <c r="AV161" s="448"/>
      <c r="AW161" s="814">
        <v>0</v>
      </c>
      <c r="AX161" s="449">
        <v>7</v>
      </c>
      <c r="AY161" s="431"/>
      <c r="AZ161" s="431">
        <v>8</v>
      </c>
      <c r="BA161" s="431" t="s">
        <v>888</v>
      </c>
      <c r="BB161" s="442" t="s">
        <v>289</v>
      </c>
      <c r="BC161" s="810">
        <f t="shared" si="166"/>
        <v>1</v>
      </c>
      <c r="BD161" s="348">
        <f t="shared" si="167"/>
        <v>218</v>
      </c>
      <c r="BE161" s="351">
        <f t="shared" si="168"/>
        <v>0.26605504587155959</v>
      </c>
      <c r="BF161" s="348">
        <f t="shared" si="169"/>
        <v>57.999999999999993</v>
      </c>
      <c r="BG161" s="351">
        <f t="shared" si="170"/>
        <v>0.73394495412844041</v>
      </c>
      <c r="BH161" s="348">
        <f t="shared" si="171"/>
        <v>160</v>
      </c>
      <c r="BI161" s="447">
        <v>0</v>
      </c>
      <c r="BJ161" s="463">
        <v>1</v>
      </c>
      <c r="BK161" s="352">
        <f t="shared" si="184"/>
        <v>218</v>
      </c>
      <c r="BL161" s="353">
        <f t="shared" si="185"/>
        <v>2.9000000000000004</v>
      </c>
      <c r="BM161" s="431">
        <v>3</v>
      </c>
      <c r="BN161" s="431" t="s">
        <v>89</v>
      </c>
      <c r="BO161" s="351">
        <f t="shared" si="172"/>
        <v>1</v>
      </c>
      <c r="BP161" s="348">
        <f t="shared" si="173"/>
        <v>218</v>
      </c>
      <c r="BQ161" s="353">
        <f t="shared" si="174"/>
        <v>0</v>
      </c>
      <c r="BR161" s="458">
        <v>1</v>
      </c>
      <c r="BS161" s="348">
        <f t="shared" si="175"/>
        <v>218</v>
      </c>
      <c r="BT161" s="447">
        <v>2</v>
      </c>
      <c r="BU161" s="351">
        <f t="shared" si="176"/>
        <v>0.91743119266055051</v>
      </c>
      <c r="BV161" s="353">
        <f t="shared" si="177"/>
        <v>8.0000000000000071E-2</v>
      </c>
      <c r="BW161" s="451">
        <v>0.92</v>
      </c>
      <c r="BX161" s="473"/>
      <c r="BY161" s="475">
        <v>41779</v>
      </c>
      <c r="BZ161" s="663" t="s">
        <v>821</v>
      </c>
      <c r="CA161" s="666">
        <v>0</v>
      </c>
      <c r="CB161" s="354" t="str">
        <f t="shared" si="178"/>
        <v>To be realised</v>
      </c>
      <c r="CC161" s="431">
        <v>54</v>
      </c>
      <c r="CD161" s="431">
        <v>10</v>
      </c>
      <c r="CE161" s="355">
        <f t="shared" si="179"/>
        <v>40</v>
      </c>
      <c r="CF161" s="356">
        <f t="shared" si="180"/>
        <v>0</v>
      </c>
      <c r="CG161" s="348">
        <f t="shared" si="181"/>
        <v>0</v>
      </c>
      <c r="CH161" s="641">
        <f t="shared" si="182"/>
        <v>11</v>
      </c>
      <c r="CI161" s="441"/>
      <c r="CJ161" s="451">
        <v>0.8</v>
      </c>
      <c r="CK161" s="372">
        <f t="shared" si="186"/>
        <v>174.4</v>
      </c>
      <c r="CL161" s="441">
        <v>1</v>
      </c>
      <c r="CM161" s="357" t="str">
        <f t="shared" si="183"/>
        <v>Excellent coverage</v>
      </c>
      <c r="CN161" s="447">
        <v>0</v>
      </c>
      <c r="CO161" s="753" t="s">
        <v>292</v>
      </c>
      <c r="CP161" s="482"/>
    </row>
    <row r="162" spans="2:94" s="36" customFormat="1" ht="30.75" customHeight="1" x14ac:dyDescent="0.2">
      <c r="B162" s="438" t="s">
        <v>218</v>
      </c>
      <c r="C162" s="430" t="s">
        <v>574</v>
      </c>
      <c r="D162" s="430" t="s">
        <v>259</v>
      </c>
      <c r="E162" s="430" t="s">
        <v>720</v>
      </c>
      <c r="F162" s="430">
        <v>96.807350999999997</v>
      </c>
      <c r="G162" s="430">
        <v>24.200362999999999</v>
      </c>
      <c r="H162" s="430" t="s">
        <v>453</v>
      </c>
      <c r="I162" s="430" t="s">
        <v>213</v>
      </c>
      <c r="J162" s="430" t="s">
        <v>812</v>
      </c>
      <c r="K162" s="430" t="s">
        <v>801</v>
      </c>
      <c r="L162" s="721">
        <v>9</v>
      </c>
      <c r="M162" s="721">
        <v>30</v>
      </c>
      <c r="N162" s="819">
        <v>40</v>
      </c>
      <c r="O162" s="820">
        <v>40</v>
      </c>
      <c r="P162" s="796" t="str">
        <f t="shared" si="150"/>
        <v>1. Small</v>
      </c>
      <c r="Q162" s="797"/>
      <c r="R162" s="432"/>
      <c r="S162" s="793" t="s">
        <v>299</v>
      </c>
      <c r="T162" s="365" t="str">
        <f t="shared" si="151"/>
        <v>Not covered</v>
      </c>
      <c r="U162" s="437" t="s">
        <v>619</v>
      </c>
      <c r="V162" s="783" t="s">
        <v>254</v>
      </c>
      <c r="W162" s="363" t="str">
        <f t="shared" si="152"/>
        <v>Not documented</v>
      </c>
      <c r="X162" s="441">
        <v>0</v>
      </c>
      <c r="Y162" s="431">
        <v>0</v>
      </c>
      <c r="Z162" s="431" t="s">
        <v>19</v>
      </c>
      <c r="AA162" s="442" t="s">
        <v>19</v>
      </c>
      <c r="AB162" s="441">
        <v>0</v>
      </c>
      <c r="AC162" s="447">
        <v>0</v>
      </c>
      <c r="AD162" s="831">
        <v>0</v>
      </c>
      <c r="AE162" s="454">
        <v>0</v>
      </c>
      <c r="AF162" s="463">
        <v>0</v>
      </c>
      <c r="AG162" s="455"/>
      <c r="AH162" s="368">
        <f t="shared" si="153"/>
        <v>0</v>
      </c>
      <c r="AI162" s="346">
        <f t="shared" si="154"/>
        <v>0</v>
      </c>
      <c r="AJ162" s="347">
        <f t="shared" si="155"/>
        <v>0</v>
      </c>
      <c r="AK162" s="348">
        <f t="shared" si="156"/>
        <v>0</v>
      </c>
      <c r="AL162" s="345">
        <f t="shared" si="157"/>
        <v>0</v>
      </c>
      <c r="AM162" s="348">
        <f t="shared" si="158"/>
        <v>0</v>
      </c>
      <c r="AN162" s="349" t="str">
        <f t="shared" si="159"/>
        <v>0-10%</v>
      </c>
      <c r="AO162" s="345">
        <f t="shared" si="160"/>
        <v>0</v>
      </c>
      <c r="AP162" s="350">
        <f t="shared" si="161"/>
        <v>0</v>
      </c>
      <c r="AQ162" s="348">
        <f t="shared" si="162"/>
        <v>0.1</v>
      </c>
      <c r="AR162" s="348">
        <f t="shared" si="163"/>
        <v>0</v>
      </c>
      <c r="AS162" s="348">
        <f t="shared" si="164"/>
        <v>0</v>
      </c>
      <c r="AT162" s="458">
        <v>0</v>
      </c>
      <c r="AU162" s="808">
        <f t="shared" si="165"/>
        <v>0</v>
      </c>
      <c r="AV162" s="448"/>
      <c r="AW162" s="814">
        <v>44</v>
      </c>
      <c r="AX162" s="449">
        <v>0</v>
      </c>
      <c r="AY162" s="431"/>
      <c r="AZ162" s="431">
        <v>0</v>
      </c>
      <c r="BA162" s="431"/>
      <c r="BB162" s="442" t="s">
        <v>289</v>
      </c>
      <c r="BC162" s="810">
        <f t="shared" si="166"/>
        <v>0</v>
      </c>
      <c r="BD162" s="348">
        <f t="shared" si="167"/>
        <v>0</v>
      </c>
      <c r="BE162" s="351">
        <f t="shared" si="168"/>
        <v>0</v>
      </c>
      <c r="BF162" s="348">
        <f t="shared" si="169"/>
        <v>0</v>
      </c>
      <c r="BG162" s="351">
        <f t="shared" si="170"/>
        <v>0</v>
      </c>
      <c r="BH162" s="348">
        <f t="shared" si="171"/>
        <v>0</v>
      </c>
      <c r="BI162" s="447">
        <v>0</v>
      </c>
      <c r="BJ162" s="463">
        <v>0</v>
      </c>
      <c r="BK162" s="352">
        <f t="shared" si="184"/>
        <v>0</v>
      </c>
      <c r="BL162" s="353">
        <f t="shared" si="185"/>
        <v>2</v>
      </c>
      <c r="BM162" s="431">
        <v>0</v>
      </c>
      <c r="BN162" s="431" t="s">
        <v>89</v>
      </c>
      <c r="BO162" s="351">
        <f t="shared" si="172"/>
        <v>0</v>
      </c>
      <c r="BP162" s="348">
        <f t="shared" si="173"/>
        <v>0</v>
      </c>
      <c r="BQ162" s="353">
        <f t="shared" si="174"/>
        <v>0.3</v>
      </c>
      <c r="BR162" s="463">
        <v>0</v>
      </c>
      <c r="BS162" s="348">
        <f t="shared" si="175"/>
        <v>0</v>
      </c>
      <c r="BT162" s="431">
        <v>0</v>
      </c>
      <c r="BU162" s="351">
        <f t="shared" si="176"/>
        <v>0</v>
      </c>
      <c r="BV162" s="353">
        <f t="shared" si="177"/>
        <v>0.3</v>
      </c>
      <c r="BW162" s="451">
        <v>0</v>
      </c>
      <c r="BX162" s="473"/>
      <c r="BY162" s="475"/>
      <c r="BZ162" s="663" t="s">
        <v>825</v>
      </c>
      <c r="CA162" s="666">
        <v>0</v>
      </c>
      <c r="CB162" s="354" t="str">
        <f t="shared" si="178"/>
        <v>To be realised</v>
      </c>
      <c r="CC162" s="431">
        <v>0</v>
      </c>
      <c r="CD162" s="431">
        <v>0</v>
      </c>
      <c r="CE162" s="355">
        <f t="shared" si="179"/>
        <v>9</v>
      </c>
      <c r="CF162" s="356">
        <f t="shared" si="180"/>
        <v>0</v>
      </c>
      <c r="CG162" s="348">
        <f t="shared" si="181"/>
        <v>0</v>
      </c>
      <c r="CH162" s="641" t="str">
        <f t="shared" si="182"/>
        <v>Column BN to be completed</v>
      </c>
      <c r="CI162" s="441"/>
      <c r="CJ162" s="453">
        <v>0</v>
      </c>
      <c r="CK162" s="372">
        <f t="shared" si="186"/>
        <v>0</v>
      </c>
      <c r="CL162" s="441">
        <v>1</v>
      </c>
      <c r="CM162" s="357" t="str">
        <f t="shared" si="183"/>
        <v>Excellent coverage</v>
      </c>
      <c r="CN162" s="447">
        <v>0</v>
      </c>
      <c r="CO162" s="753" t="s">
        <v>66</v>
      </c>
      <c r="CP162" s="482"/>
    </row>
    <row r="163" spans="2:94" s="36" customFormat="1" ht="30.75" customHeight="1" x14ac:dyDescent="0.25">
      <c r="B163" s="438" t="s">
        <v>910</v>
      </c>
      <c r="C163" s="430" t="s">
        <v>911</v>
      </c>
      <c r="D163" s="430" t="s">
        <v>313</v>
      </c>
      <c r="E163" s="430" t="s">
        <v>920</v>
      </c>
      <c r="F163" s="430">
        <v>97.745480999999998</v>
      </c>
      <c r="G163" s="430">
        <v>26.569633</v>
      </c>
      <c r="H163" s="430" t="s">
        <v>442</v>
      </c>
      <c r="I163" s="430" t="s">
        <v>213</v>
      </c>
      <c r="J163" s="430" t="s">
        <v>814</v>
      </c>
      <c r="K163" s="430" t="s">
        <v>800</v>
      </c>
      <c r="L163" s="721">
        <v>161</v>
      </c>
      <c r="M163" s="721">
        <v>711</v>
      </c>
      <c r="N163" s="819"/>
      <c r="O163" s="820">
        <v>711</v>
      </c>
      <c r="P163" s="796" t="str">
        <f t="shared" si="150"/>
        <v>2. Medium</v>
      </c>
      <c r="Q163" s="797"/>
      <c r="R163" s="432"/>
      <c r="S163" s="793" t="s">
        <v>299</v>
      </c>
      <c r="T163" s="365" t="str">
        <f t="shared" si="151"/>
        <v>Not covered</v>
      </c>
      <c r="U163" s="437" t="s">
        <v>619</v>
      </c>
      <c r="V163" s="783" t="s">
        <v>254</v>
      </c>
      <c r="W163" s="363" t="str">
        <f t="shared" si="152"/>
        <v>Not documented</v>
      </c>
      <c r="X163" s="441">
        <v>0</v>
      </c>
      <c r="Y163" s="431">
        <v>0</v>
      </c>
      <c r="Z163" s="431" t="s">
        <v>19</v>
      </c>
      <c r="AA163" s="442" t="s">
        <v>19</v>
      </c>
      <c r="AB163" s="441">
        <v>0</v>
      </c>
      <c r="AC163" s="447">
        <v>0</v>
      </c>
      <c r="AD163" s="831">
        <v>0</v>
      </c>
      <c r="AE163" s="454">
        <v>0</v>
      </c>
      <c r="AF163" s="463">
        <v>0</v>
      </c>
      <c r="AG163" s="455"/>
      <c r="AH163" s="368">
        <f t="shared" si="153"/>
        <v>0</v>
      </c>
      <c r="AI163" s="346">
        <f t="shared" si="154"/>
        <v>0</v>
      </c>
      <c r="AJ163" s="347">
        <f t="shared" si="155"/>
        <v>0</v>
      </c>
      <c r="AK163" s="348">
        <f t="shared" si="156"/>
        <v>0</v>
      </c>
      <c r="AL163" s="345">
        <f t="shared" si="157"/>
        <v>0</v>
      </c>
      <c r="AM163" s="348">
        <f t="shared" si="158"/>
        <v>0</v>
      </c>
      <c r="AN163" s="349" t="str">
        <f t="shared" si="159"/>
        <v>0-10%</v>
      </c>
      <c r="AO163" s="345">
        <f t="shared" si="160"/>
        <v>0</v>
      </c>
      <c r="AP163" s="350">
        <f t="shared" si="161"/>
        <v>0</v>
      </c>
      <c r="AQ163" s="348">
        <f t="shared" si="162"/>
        <v>1.7775000000000001</v>
      </c>
      <c r="AR163" s="348">
        <f t="shared" si="163"/>
        <v>0</v>
      </c>
      <c r="AS163" s="348">
        <f t="shared" si="164"/>
        <v>0</v>
      </c>
      <c r="AT163" s="458">
        <v>0</v>
      </c>
      <c r="AU163" s="808">
        <f t="shared" si="165"/>
        <v>0</v>
      </c>
      <c r="AV163" s="448"/>
      <c r="AW163" s="814">
        <v>0</v>
      </c>
      <c r="AX163" s="449">
        <v>0</v>
      </c>
      <c r="AY163" s="431"/>
      <c r="AZ163" s="431">
        <v>14</v>
      </c>
      <c r="BA163" s="431"/>
      <c r="BB163" s="442" t="s">
        <v>289</v>
      </c>
      <c r="BC163" s="810">
        <f t="shared" si="166"/>
        <v>0.39381153305203936</v>
      </c>
      <c r="BD163" s="348">
        <f t="shared" si="167"/>
        <v>280</v>
      </c>
      <c r="BE163" s="351">
        <f t="shared" si="168"/>
        <v>0</v>
      </c>
      <c r="BF163" s="348">
        <f t="shared" si="169"/>
        <v>0</v>
      </c>
      <c r="BG163" s="351">
        <f t="shared" si="170"/>
        <v>0.39381153305203936</v>
      </c>
      <c r="BH163" s="348">
        <f t="shared" si="171"/>
        <v>280</v>
      </c>
      <c r="BI163" s="447">
        <v>0</v>
      </c>
      <c r="BJ163" s="463">
        <v>0.39</v>
      </c>
      <c r="BK163" s="352">
        <f t="shared" si="184"/>
        <v>277.29000000000002</v>
      </c>
      <c r="BL163" s="353">
        <f t="shared" si="185"/>
        <v>21.549999999999997</v>
      </c>
      <c r="BM163" s="431">
        <v>0</v>
      </c>
      <c r="BN163" s="431" t="s">
        <v>89</v>
      </c>
      <c r="BO163" s="351">
        <f t="shared" si="172"/>
        <v>0</v>
      </c>
      <c r="BP163" s="348">
        <f t="shared" si="173"/>
        <v>0</v>
      </c>
      <c r="BQ163" s="353">
        <f t="shared" si="174"/>
        <v>7.11</v>
      </c>
      <c r="BR163" s="463">
        <v>0</v>
      </c>
      <c r="BS163" s="348">
        <f t="shared" si="175"/>
        <v>0</v>
      </c>
      <c r="BT163" s="431">
        <v>0</v>
      </c>
      <c r="BU163" s="351">
        <f t="shared" si="176"/>
        <v>0</v>
      </c>
      <c r="BV163" s="353">
        <f t="shared" si="177"/>
        <v>7.11</v>
      </c>
      <c r="BW163" s="451">
        <v>0</v>
      </c>
      <c r="BX163" s="473"/>
      <c r="BY163" s="475"/>
      <c r="BZ163" s="663"/>
      <c r="CA163" s="666"/>
      <c r="CB163" s="354" t="str">
        <f t="shared" si="178"/>
        <v>To be realised</v>
      </c>
      <c r="CC163" s="431"/>
      <c r="CD163" s="431"/>
      <c r="CE163" s="355">
        <f t="shared" si="179"/>
        <v>161</v>
      </c>
      <c r="CF163" s="356">
        <f t="shared" si="180"/>
        <v>0</v>
      </c>
      <c r="CG163" s="348">
        <f t="shared" si="181"/>
        <v>0</v>
      </c>
      <c r="CH163" s="641" t="str">
        <f t="shared" si="182"/>
        <v>Column BN to be completed</v>
      </c>
      <c r="CI163" s="441"/>
      <c r="CJ163" s="453">
        <v>0</v>
      </c>
      <c r="CK163" s="372">
        <f t="shared" si="186"/>
        <v>0</v>
      </c>
      <c r="CL163" s="441">
        <v>2</v>
      </c>
      <c r="CM163" s="357" t="str">
        <f t="shared" si="183"/>
        <v>Excellent coverage</v>
      </c>
      <c r="CN163" s="447">
        <v>0</v>
      </c>
      <c r="CO163" s="753" t="s">
        <v>65</v>
      </c>
      <c r="CP163" s="483"/>
    </row>
    <row r="164" spans="2:94" s="36" customFormat="1" ht="30.75" customHeight="1" x14ac:dyDescent="0.2">
      <c r="B164" s="438" t="s">
        <v>910</v>
      </c>
      <c r="C164" s="430" t="s">
        <v>912</v>
      </c>
      <c r="D164" s="430" t="s">
        <v>313</v>
      </c>
      <c r="E164" s="430" t="s">
        <v>921</v>
      </c>
      <c r="F164" s="430">
        <v>97.75609</v>
      </c>
      <c r="G164" s="430">
        <v>26.548506</v>
      </c>
      <c r="H164" s="430" t="s">
        <v>442</v>
      </c>
      <c r="I164" s="430" t="s">
        <v>213</v>
      </c>
      <c r="J164" s="430" t="s">
        <v>814</v>
      </c>
      <c r="K164" s="430" t="s">
        <v>800</v>
      </c>
      <c r="L164" s="721">
        <v>98</v>
      </c>
      <c r="M164" s="721">
        <v>489</v>
      </c>
      <c r="N164" s="431"/>
      <c r="O164" s="660">
        <v>489</v>
      </c>
      <c r="P164" s="796" t="str">
        <f t="shared" si="150"/>
        <v>2. Medium</v>
      </c>
      <c r="Q164" s="797"/>
      <c r="R164" s="432"/>
      <c r="S164" s="793" t="s">
        <v>299</v>
      </c>
      <c r="T164" s="365" t="str">
        <f t="shared" si="151"/>
        <v>Not covered</v>
      </c>
      <c r="U164" s="437" t="s">
        <v>619</v>
      </c>
      <c r="V164" s="783" t="s">
        <v>254</v>
      </c>
      <c r="W164" s="363" t="str">
        <f t="shared" si="152"/>
        <v>Not documented</v>
      </c>
      <c r="X164" s="441">
        <v>0</v>
      </c>
      <c r="Y164" s="431">
        <v>0</v>
      </c>
      <c r="Z164" s="431" t="s">
        <v>19</v>
      </c>
      <c r="AA164" s="442" t="s">
        <v>19</v>
      </c>
      <c r="AB164" s="441">
        <v>0</v>
      </c>
      <c r="AC164" s="447">
        <v>0</v>
      </c>
      <c r="AD164" s="831">
        <v>0</v>
      </c>
      <c r="AE164" s="454">
        <v>0</v>
      </c>
      <c r="AF164" s="463">
        <v>0</v>
      </c>
      <c r="AG164" s="455"/>
      <c r="AH164" s="368">
        <f t="shared" si="153"/>
        <v>0</v>
      </c>
      <c r="AI164" s="346">
        <f t="shared" si="154"/>
        <v>0</v>
      </c>
      <c r="AJ164" s="347">
        <f t="shared" si="155"/>
        <v>0</v>
      </c>
      <c r="AK164" s="348">
        <f t="shared" si="156"/>
        <v>0</v>
      </c>
      <c r="AL164" s="345">
        <f t="shared" si="157"/>
        <v>0</v>
      </c>
      <c r="AM164" s="348">
        <f t="shared" si="158"/>
        <v>0</v>
      </c>
      <c r="AN164" s="349" t="str">
        <f t="shared" si="159"/>
        <v>0-10%</v>
      </c>
      <c r="AO164" s="345">
        <f t="shared" si="160"/>
        <v>0</v>
      </c>
      <c r="AP164" s="350">
        <f t="shared" si="161"/>
        <v>0</v>
      </c>
      <c r="AQ164" s="348">
        <f t="shared" si="162"/>
        <v>1.2224999999999999</v>
      </c>
      <c r="AR164" s="348">
        <f t="shared" si="163"/>
        <v>0</v>
      </c>
      <c r="AS164" s="348">
        <f t="shared" si="164"/>
        <v>0</v>
      </c>
      <c r="AT164" s="458">
        <v>0</v>
      </c>
      <c r="AU164" s="808">
        <f t="shared" si="165"/>
        <v>0</v>
      </c>
      <c r="AV164" s="448"/>
      <c r="AW164" s="814">
        <v>0</v>
      </c>
      <c r="AX164" s="449">
        <v>2</v>
      </c>
      <c r="AY164" s="431"/>
      <c r="AZ164" s="431">
        <v>3</v>
      </c>
      <c r="BA164" s="431"/>
      <c r="BB164" s="442" t="s">
        <v>289</v>
      </c>
      <c r="BC164" s="810">
        <f t="shared" si="166"/>
        <v>0.20449897750511248</v>
      </c>
      <c r="BD164" s="348">
        <f t="shared" si="167"/>
        <v>100</v>
      </c>
      <c r="BE164" s="351">
        <f t="shared" si="168"/>
        <v>8.1799591002044994E-2</v>
      </c>
      <c r="BF164" s="348">
        <f t="shared" si="169"/>
        <v>40</v>
      </c>
      <c r="BG164" s="351">
        <f t="shared" si="170"/>
        <v>0.12269938650306748</v>
      </c>
      <c r="BH164" s="348">
        <f t="shared" si="171"/>
        <v>60</v>
      </c>
      <c r="BI164" s="447">
        <v>0</v>
      </c>
      <c r="BJ164" s="463">
        <v>0.2</v>
      </c>
      <c r="BK164" s="352">
        <f t="shared" si="184"/>
        <v>97.800000000000011</v>
      </c>
      <c r="BL164" s="353">
        <f t="shared" si="185"/>
        <v>21.45</v>
      </c>
      <c r="BM164" s="431">
        <v>0</v>
      </c>
      <c r="BN164" s="431" t="s">
        <v>89</v>
      </c>
      <c r="BO164" s="351">
        <f t="shared" si="172"/>
        <v>0</v>
      </c>
      <c r="BP164" s="348">
        <f t="shared" si="173"/>
        <v>0</v>
      </c>
      <c r="BQ164" s="353">
        <f t="shared" si="174"/>
        <v>4.8899999999999997</v>
      </c>
      <c r="BR164" s="463">
        <v>0</v>
      </c>
      <c r="BS164" s="348">
        <f t="shared" si="175"/>
        <v>0</v>
      </c>
      <c r="BT164" s="431">
        <v>0</v>
      </c>
      <c r="BU164" s="351">
        <f t="shared" si="176"/>
        <v>0</v>
      </c>
      <c r="BV164" s="353">
        <f t="shared" si="177"/>
        <v>4.8899999999999997</v>
      </c>
      <c r="BW164" s="451">
        <v>0</v>
      </c>
      <c r="BX164" s="473"/>
      <c r="BY164" s="475"/>
      <c r="BZ164" s="663"/>
      <c r="CA164" s="666"/>
      <c r="CB164" s="354" t="str">
        <f t="shared" si="178"/>
        <v>To be realised</v>
      </c>
      <c r="CC164" s="431"/>
      <c r="CD164" s="431"/>
      <c r="CE164" s="355">
        <f t="shared" si="179"/>
        <v>98</v>
      </c>
      <c r="CF164" s="356">
        <f t="shared" si="180"/>
        <v>0</v>
      </c>
      <c r="CG164" s="348">
        <f t="shared" si="181"/>
        <v>0</v>
      </c>
      <c r="CH164" s="641" t="str">
        <f t="shared" si="182"/>
        <v>Column BN to be completed</v>
      </c>
      <c r="CI164" s="441"/>
      <c r="CJ164" s="453">
        <v>0</v>
      </c>
      <c r="CK164" s="372">
        <f t="shared" si="186"/>
        <v>0</v>
      </c>
      <c r="CL164" s="441">
        <v>2</v>
      </c>
      <c r="CM164" s="357" t="str">
        <f t="shared" si="183"/>
        <v>Excellent coverage</v>
      </c>
      <c r="CN164" s="447">
        <v>0</v>
      </c>
      <c r="CO164" s="753" t="s">
        <v>65</v>
      </c>
      <c r="CP164" s="482"/>
    </row>
    <row r="165" spans="2:94" s="36" customFormat="1" ht="30.75" customHeight="1" x14ac:dyDescent="0.2">
      <c r="B165" s="438" t="s">
        <v>154</v>
      </c>
      <c r="C165" s="430" t="s">
        <v>575</v>
      </c>
      <c r="D165" s="430" t="s">
        <v>260</v>
      </c>
      <c r="E165" s="430" t="s">
        <v>222</v>
      </c>
      <c r="F165" s="430">
        <v>97.915833000000006</v>
      </c>
      <c r="G165" s="430">
        <v>25.220278</v>
      </c>
      <c r="H165" s="430" t="s">
        <v>442</v>
      </c>
      <c r="I165" s="430" t="s">
        <v>221</v>
      </c>
      <c r="J165" s="430" t="s">
        <v>814</v>
      </c>
      <c r="K165" s="430" t="s">
        <v>800</v>
      </c>
      <c r="L165" s="721">
        <v>156</v>
      </c>
      <c r="M165" s="721">
        <v>641</v>
      </c>
      <c r="N165" s="431">
        <v>645</v>
      </c>
      <c r="O165" s="660">
        <v>645</v>
      </c>
      <c r="P165" s="796" t="str">
        <f t="shared" ref="P165:P189" si="187">IF(L165&gt;50,IF(L165&gt;250,IF(L165&gt;500,IF(L165&gt;1000,"5. Massive","4. Big"),"3. Large"),"2. Medium"),"1. Small")</f>
        <v>2. Medium</v>
      </c>
      <c r="Q165" s="797" t="s">
        <v>828</v>
      </c>
      <c r="R165" s="432" t="s">
        <v>276</v>
      </c>
      <c r="S165" s="436" t="s">
        <v>230</v>
      </c>
      <c r="T165" s="365" t="str">
        <f t="shared" ref="T165:T189" si="188">IF(S165="None","Not covered","Covered")</f>
        <v>Covered</v>
      </c>
      <c r="U165" s="437">
        <v>42735</v>
      </c>
      <c r="V165" s="784" t="s">
        <v>252</v>
      </c>
      <c r="W165" s="363" t="str">
        <f t="shared" ref="W165:W189" si="189">IF(V165="Not documented","Not documented","Documented")</f>
        <v>Documented</v>
      </c>
      <c r="X165" s="441">
        <v>0</v>
      </c>
      <c r="Y165" s="431">
        <v>0</v>
      </c>
      <c r="Z165" s="431" t="s">
        <v>19</v>
      </c>
      <c r="AA165" s="442" t="s">
        <v>19</v>
      </c>
      <c r="AB165" s="441">
        <v>0</v>
      </c>
      <c r="AC165" s="447">
        <v>0</v>
      </c>
      <c r="AD165" s="831">
        <v>15000</v>
      </c>
      <c r="AE165" s="454">
        <v>0</v>
      </c>
      <c r="AF165" s="463">
        <v>1</v>
      </c>
      <c r="AG165" s="455"/>
      <c r="AH165" s="368">
        <f t="shared" ref="AH165:AH189" si="190">IF((((X165/15)+((Y165/30)/15)+AB165*400+AC165*500+(AD165/15))/O165)&gt;1,1,(((X165/15)+((Y165/30)/15)+AB165*400+AC165*500+(AD165/15))/O165))</f>
        <v>1</v>
      </c>
      <c r="AI165" s="346">
        <f t="shared" ref="AI165:AI189" si="191">AH165*O165</f>
        <v>645</v>
      </c>
      <c r="AJ165" s="347">
        <f t="shared" ref="AJ165:AJ189" si="192">IF(((AB165*400+AC165*500+(AD165/15))/O165)&gt;1,1,(AB165*400+AC165*500+(AD165/15))/O165)</f>
        <v>1</v>
      </c>
      <c r="AK165" s="348">
        <f t="shared" ref="AK165:AK189" si="193">AJ165*O165</f>
        <v>645</v>
      </c>
      <c r="AL165" s="345">
        <f t="shared" ref="AL165:AL189" si="194">IF(AF165=0,AH165,IF(AF165&lt;AH165,AH165,AF165))</f>
        <v>1</v>
      </c>
      <c r="AM165" s="348">
        <f t="shared" ref="AM165:AM189" si="195">AL165*O165</f>
        <v>645</v>
      </c>
      <c r="AN165" s="349" t="str">
        <f t="shared" ref="AN165:AN189" si="196">IF(AH165&gt;0.15,IF(AH165&gt;0.3,IF(AH165&gt;0.45,IF(AH165&gt;0.6,IF(AH165&gt;0.8,"80-100%","60-80%"),"45-60%"),"30-45%"),"15-30%"),"0-10%")</f>
        <v>80-100%</v>
      </c>
      <c r="AO165" s="345">
        <f t="shared" ref="AO165:AO189" si="197">IF((AH165-AJ165)&lt; 0, 0, AH165-AJ165)</f>
        <v>0</v>
      </c>
      <c r="AP165" s="350">
        <f t="shared" ref="AP165:AP189" si="198">AO165*O165</f>
        <v>0</v>
      </c>
      <c r="AQ165" s="348">
        <f t="shared" ref="AQ165:AQ189" si="199">IF(O165/400-(AB165+AC165)&lt;0,0,O165/400-(AB165+AC165))</f>
        <v>1.6125</v>
      </c>
      <c r="AR165" s="348">
        <f t="shared" ref="AR165:AR189" si="200">AF165*L165</f>
        <v>156</v>
      </c>
      <c r="AS165" s="348">
        <f t="shared" ref="AS165:AS189" si="201">AE165*O165</f>
        <v>0</v>
      </c>
      <c r="AT165" s="458">
        <v>1</v>
      </c>
      <c r="AU165" s="808">
        <f t="shared" ref="AU165:AU189" si="202">AT165*O165</f>
        <v>645</v>
      </c>
      <c r="AV165" s="448"/>
      <c r="AW165" s="814">
        <v>0</v>
      </c>
      <c r="AX165" s="449">
        <v>95</v>
      </c>
      <c r="AY165" s="431"/>
      <c r="AZ165" s="431">
        <v>8</v>
      </c>
      <c r="BA165" s="431" t="s">
        <v>888</v>
      </c>
      <c r="BB165" s="442" t="s">
        <v>289</v>
      </c>
      <c r="BC165" s="810">
        <f t="shared" ref="BC165:BC189" si="203">IF((((AX165+AZ165)*20)/O165)&gt;1,1,(((AX165+AZ165)*20)/O165))</f>
        <v>1</v>
      </c>
      <c r="BD165" s="348">
        <f t="shared" ref="BD165:BD189" si="204">BC165*O165</f>
        <v>645</v>
      </c>
      <c r="BE165" s="351">
        <f t="shared" ref="BE165:BE189" si="205">BC165-BG165</f>
        <v>0.75193798449612403</v>
      </c>
      <c r="BF165" s="348">
        <f t="shared" ref="BF165:BF189" si="206">BE165*O165</f>
        <v>485</v>
      </c>
      <c r="BG165" s="351">
        <f t="shared" ref="BG165:BG189" si="207">IF(((AZ165*20)/O165)&gt;1,1,((AZ165*20)/O165))</f>
        <v>0.24806201550387597</v>
      </c>
      <c r="BH165" s="348">
        <f t="shared" ref="BH165:BH189" si="208">BG165*O165</f>
        <v>160</v>
      </c>
      <c r="BI165" s="447">
        <v>0</v>
      </c>
      <c r="BJ165" s="463">
        <v>1</v>
      </c>
      <c r="BK165" s="352">
        <f t="shared" si="184"/>
        <v>645</v>
      </c>
      <c r="BL165" s="353">
        <f t="shared" si="185"/>
        <v>24.25</v>
      </c>
      <c r="BM165" s="431">
        <v>1</v>
      </c>
      <c r="BN165" s="431" t="s">
        <v>290</v>
      </c>
      <c r="BO165" s="351">
        <f t="shared" ref="BO165:BO189" si="209">IF((BM165*100/O165)&gt;1,1,(BM165*100/O165))</f>
        <v>0.15503875968992248</v>
      </c>
      <c r="BP165" s="348">
        <f t="shared" ref="BP165:BP189" si="210">BO165*O165</f>
        <v>100</v>
      </c>
      <c r="BQ165" s="353">
        <f t="shared" ref="BQ165:BQ189" si="211">IF(M165/100-BM165&lt;0,0,M165/100-BM165)</f>
        <v>5.41</v>
      </c>
      <c r="BR165" s="463">
        <v>0.16</v>
      </c>
      <c r="BS165" s="348">
        <f t="shared" ref="BS165:BS189" si="212">BR165*O165</f>
        <v>103.2</v>
      </c>
      <c r="BT165" s="431">
        <v>4</v>
      </c>
      <c r="BU165" s="351">
        <f t="shared" ref="BU165:BU189" si="213">IF((BT165*100/O165)&gt;1,1,(BT165*100/O165))</f>
        <v>0.62015503875968991</v>
      </c>
      <c r="BV165" s="353">
        <f t="shared" ref="BV165:BV189" si="214">IF(M165/100-BT165&lt;0,0,M165/100-BT165)</f>
        <v>2.41</v>
      </c>
      <c r="BW165" s="451">
        <v>0.62</v>
      </c>
      <c r="BX165" s="473"/>
      <c r="BY165" s="475">
        <v>42341</v>
      </c>
      <c r="BZ165" s="663" t="s">
        <v>821</v>
      </c>
      <c r="CA165" s="666">
        <v>0</v>
      </c>
      <c r="CB165" s="354">
        <f t="shared" ref="CB165:CB189" si="215">IF(BY165="","To be realised",IF(BY165="n/a","n/a",IF(BY165+365&lt;$E$2,"To be realised",BY165+365)))</f>
        <v>42706</v>
      </c>
      <c r="CC165" s="431">
        <v>133</v>
      </c>
      <c r="CD165" s="431">
        <v>6</v>
      </c>
      <c r="CE165" s="355">
        <f t="shared" ref="CE165:CE189" si="216">IF(CB165="n/a",0,IF(CB165="To be realised",L165,IF((L165-CC165)&lt;0,0,(L165-CC165))))</f>
        <v>23</v>
      </c>
      <c r="CF165" s="356">
        <f t="shared" ref="CF165:CF189" si="217">IF(CE165=0,1,(L165-CE165)/L165)</f>
        <v>0.85256410256410253</v>
      </c>
      <c r="CG165" s="348">
        <f t="shared" ref="CG165:CG189" si="218">CF165*O165</f>
        <v>549.90384615384619</v>
      </c>
      <c r="CH165" s="641">
        <f t="shared" ref="CH165:CH189" si="219">IF(BY165="","Column BN to be completed", IF(BY165="n/a",0,IF(($E$2-BY165-30)/30-CD165&lt;0,0,ROUND((($E$2-BY165-30)/30-CD165),0))))</f>
        <v>0</v>
      </c>
      <c r="CI165" s="441"/>
      <c r="CJ165" s="451">
        <v>0</v>
      </c>
      <c r="CK165" s="372">
        <f t="shared" si="186"/>
        <v>0</v>
      </c>
      <c r="CL165" s="441">
        <v>1</v>
      </c>
      <c r="CM165" s="357" t="str">
        <f t="shared" ref="CM165:CM189" si="220">IF(CL165=0,"No coverage",IF(O165/CL165&gt;1000,"Low coverage",IF(O165/CL165&gt;750,"Average coverage",IF(O165/CL165&gt;500,"Good coverage","Excellent coverage"))))</f>
        <v>Good coverage</v>
      </c>
      <c r="CN165" s="447">
        <v>0</v>
      </c>
      <c r="CO165" s="753" t="s">
        <v>65</v>
      </c>
      <c r="CP165" s="482"/>
    </row>
    <row r="166" spans="2:94" s="36" customFormat="1" ht="30.75" customHeight="1" x14ac:dyDescent="0.2">
      <c r="B166" s="438" t="s">
        <v>154</v>
      </c>
      <c r="C166" s="430" t="s">
        <v>578</v>
      </c>
      <c r="D166" s="430" t="s">
        <v>260</v>
      </c>
      <c r="E166" s="430" t="s">
        <v>605</v>
      </c>
      <c r="F166" s="430">
        <v>97.541793999999996</v>
      </c>
      <c r="G166" s="430">
        <v>24.752471</v>
      </c>
      <c r="H166" s="430" t="s">
        <v>443</v>
      </c>
      <c r="I166" s="430" t="s">
        <v>221</v>
      </c>
      <c r="J166" s="430" t="s">
        <v>814</v>
      </c>
      <c r="K166" s="430" t="s">
        <v>805</v>
      </c>
      <c r="L166" s="721"/>
      <c r="M166" s="721">
        <v>1049</v>
      </c>
      <c r="N166" s="431">
        <v>405</v>
      </c>
      <c r="O166" s="660">
        <v>644</v>
      </c>
      <c r="P166" s="796" t="str">
        <f t="shared" si="187"/>
        <v>1. Small</v>
      </c>
      <c r="Q166" s="797" t="s">
        <v>829</v>
      </c>
      <c r="R166" s="432" t="s">
        <v>276</v>
      </c>
      <c r="S166" s="793" t="s">
        <v>299</v>
      </c>
      <c r="T166" s="365" t="str">
        <f t="shared" si="188"/>
        <v>Not covered</v>
      </c>
      <c r="U166" s="437" t="s">
        <v>619</v>
      </c>
      <c r="V166" s="783" t="s">
        <v>254</v>
      </c>
      <c r="W166" s="363" t="str">
        <f t="shared" si="189"/>
        <v>Not documented</v>
      </c>
      <c r="X166" s="441">
        <v>0</v>
      </c>
      <c r="Y166" s="431">
        <v>0</v>
      </c>
      <c r="Z166" s="431" t="s">
        <v>19</v>
      </c>
      <c r="AA166" s="442" t="s">
        <v>19</v>
      </c>
      <c r="AB166" s="441">
        <v>1</v>
      </c>
      <c r="AC166" s="447">
        <v>0</v>
      </c>
      <c r="AD166" s="831">
        <v>7920</v>
      </c>
      <c r="AE166" s="454">
        <v>0</v>
      </c>
      <c r="AF166" s="463">
        <v>1</v>
      </c>
      <c r="AG166" s="455" t="s">
        <v>831</v>
      </c>
      <c r="AH166" s="368">
        <f t="shared" si="190"/>
        <v>1</v>
      </c>
      <c r="AI166" s="346">
        <f t="shared" si="191"/>
        <v>644</v>
      </c>
      <c r="AJ166" s="347">
        <f t="shared" si="192"/>
        <v>1</v>
      </c>
      <c r="AK166" s="348">
        <f t="shared" si="193"/>
        <v>644</v>
      </c>
      <c r="AL166" s="345">
        <f t="shared" si="194"/>
        <v>1</v>
      </c>
      <c r="AM166" s="348">
        <f t="shared" si="195"/>
        <v>644</v>
      </c>
      <c r="AN166" s="349" t="str">
        <f t="shared" si="196"/>
        <v>80-100%</v>
      </c>
      <c r="AO166" s="345">
        <f t="shared" si="197"/>
        <v>0</v>
      </c>
      <c r="AP166" s="350">
        <f t="shared" si="198"/>
        <v>0</v>
      </c>
      <c r="AQ166" s="348">
        <f t="shared" si="199"/>
        <v>0.6100000000000001</v>
      </c>
      <c r="AR166" s="348">
        <f t="shared" si="200"/>
        <v>0</v>
      </c>
      <c r="AS166" s="348">
        <f t="shared" si="201"/>
        <v>0</v>
      </c>
      <c r="AT166" s="458">
        <v>1</v>
      </c>
      <c r="AU166" s="808">
        <f t="shared" si="202"/>
        <v>644</v>
      </c>
      <c r="AV166" s="448"/>
      <c r="AW166" s="814">
        <v>0</v>
      </c>
      <c r="AX166" s="449">
        <v>0</v>
      </c>
      <c r="AY166" s="431">
        <v>0</v>
      </c>
      <c r="AZ166" s="431">
        <v>16</v>
      </c>
      <c r="BA166" s="431" t="s">
        <v>888</v>
      </c>
      <c r="BB166" s="442" t="s">
        <v>289</v>
      </c>
      <c r="BC166" s="810">
        <f t="shared" si="203"/>
        <v>0.49689440993788819</v>
      </c>
      <c r="BD166" s="348">
        <f t="shared" si="204"/>
        <v>320</v>
      </c>
      <c r="BE166" s="351">
        <f t="shared" si="205"/>
        <v>0</v>
      </c>
      <c r="BF166" s="348">
        <f t="shared" si="206"/>
        <v>0</v>
      </c>
      <c r="BG166" s="351">
        <f t="shared" si="207"/>
        <v>0.49689440993788819</v>
      </c>
      <c r="BH166" s="348">
        <f t="shared" si="208"/>
        <v>320</v>
      </c>
      <c r="BI166" s="447">
        <v>0</v>
      </c>
      <c r="BJ166" s="463">
        <v>0.83</v>
      </c>
      <c r="BK166" s="352">
        <f t="shared" si="184"/>
        <v>534.52</v>
      </c>
      <c r="BL166" s="353">
        <f t="shared" si="185"/>
        <v>16.200000000000003</v>
      </c>
      <c r="BM166" s="431">
        <v>4</v>
      </c>
      <c r="BN166" s="431" t="s">
        <v>290</v>
      </c>
      <c r="BO166" s="351">
        <f t="shared" si="209"/>
        <v>0.6211180124223602</v>
      </c>
      <c r="BP166" s="348">
        <f t="shared" si="210"/>
        <v>399.99999999999994</v>
      </c>
      <c r="BQ166" s="353">
        <f t="shared" si="211"/>
        <v>6.49</v>
      </c>
      <c r="BR166" s="463">
        <v>0.76</v>
      </c>
      <c r="BS166" s="348">
        <f t="shared" si="212"/>
        <v>489.44</v>
      </c>
      <c r="BT166" s="431">
        <v>2</v>
      </c>
      <c r="BU166" s="351">
        <f t="shared" si="213"/>
        <v>0.3105590062111801</v>
      </c>
      <c r="BV166" s="353">
        <f t="shared" si="214"/>
        <v>8.49</v>
      </c>
      <c r="BW166" s="451">
        <v>0.31</v>
      </c>
      <c r="BX166" s="473"/>
      <c r="BY166" s="475"/>
      <c r="BZ166" s="663"/>
      <c r="CA166" s="666"/>
      <c r="CB166" s="354" t="str">
        <f t="shared" si="215"/>
        <v>To be realised</v>
      </c>
      <c r="CC166" s="431">
        <v>0</v>
      </c>
      <c r="CD166" s="431">
        <v>13</v>
      </c>
      <c r="CE166" s="355">
        <f t="shared" si="216"/>
        <v>0</v>
      </c>
      <c r="CF166" s="356">
        <f t="shared" si="217"/>
        <v>1</v>
      </c>
      <c r="CG166" s="348">
        <f t="shared" si="218"/>
        <v>644</v>
      </c>
      <c r="CH166" s="641" t="str">
        <f t="shared" si="219"/>
        <v>Column BN to be completed</v>
      </c>
      <c r="CI166" s="441"/>
      <c r="CJ166" s="453">
        <v>0</v>
      </c>
      <c r="CK166" s="372">
        <f t="shared" si="186"/>
        <v>0</v>
      </c>
      <c r="CL166" s="441">
        <v>2</v>
      </c>
      <c r="CM166" s="357" t="str">
        <f t="shared" si="220"/>
        <v>Excellent coverage</v>
      </c>
      <c r="CN166" s="447">
        <v>0</v>
      </c>
      <c r="CO166" s="753" t="s">
        <v>65</v>
      </c>
      <c r="CP166" s="482"/>
    </row>
    <row r="167" spans="2:94" s="36" customFormat="1" ht="30.75" customHeight="1" x14ac:dyDescent="0.2">
      <c r="B167" s="438" t="s">
        <v>154</v>
      </c>
      <c r="C167" s="430" t="s">
        <v>578</v>
      </c>
      <c r="D167" s="430" t="s">
        <v>260</v>
      </c>
      <c r="E167" s="430" t="s">
        <v>604</v>
      </c>
      <c r="F167" s="430">
        <v>97.541793999999996</v>
      </c>
      <c r="G167" s="430">
        <v>24.752471</v>
      </c>
      <c r="H167" s="430" t="s">
        <v>443</v>
      </c>
      <c r="I167" s="430" t="s">
        <v>221</v>
      </c>
      <c r="J167" s="430" t="s">
        <v>814</v>
      </c>
      <c r="K167" s="430" t="s">
        <v>805</v>
      </c>
      <c r="L167" s="721"/>
      <c r="M167" s="721"/>
      <c r="N167" s="431">
        <v>391</v>
      </c>
      <c r="O167" s="660">
        <v>391</v>
      </c>
      <c r="P167" s="796" t="str">
        <f t="shared" si="187"/>
        <v>1. Small</v>
      </c>
      <c r="Q167" s="797" t="s">
        <v>829</v>
      </c>
      <c r="R167" s="432" t="s">
        <v>276</v>
      </c>
      <c r="S167" s="793" t="s">
        <v>299</v>
      </c>
      <c r="T167" s="365" t="str">
        <f t="shared" si="188"/>
        <v>Not covered</v>
      </c>
      <c r="U167" s="437" t="s">
        <v>619</v>
      </c>
      <c r="V167" s="783" t="s">
        <v>254</v>
      </c>
      <c r="W167" s="363" t="str">
        <f t="shared" si="189"/>
        <v>Not documented</v>
      </c>
      <c r="X167" s="441">
        <v>0</v>
      </c>
      <c r="Y167" s="431">
        <v>0</v>
      </c>
      <c r="Z167" s="431" t="s">
        <v>19</v>
      </c>
      <c r="AA167" s="442" t="s">
        <v>19</v>
      </c>
      <c r="AB167" s="441">
        <v>0</v>
      </c>
      <c r="AC167" s="447">
        <v>0</v>
      </c>
      <c r="AD167" s="831">
        <v>6000</v>
      </c>
      <c r="AE167" s="454">
        <v>0</v>
      </c>
      <c r="AF167" s="463">
        <v>1</v>
      </c>
      <c r="AG167" s="455" t="s">
        <v>831</v>
      </c>
      <c r="AH167" s="368">
        <f t="shared" si="190"/>
        <v>1</v>
      </c>
      <c r="AI167" s="346">
        <f t="shared" si="191"/>
        <v>391</v>
      </c>
      <c r="AJ167" s="347">
        <f t="shared" si="192"/>
        <v>1</v>
      </c>
      <c r="AK167" s="348">
        <f t="shared" si="193"/>
        <v>391</v>
      </c>
      <c r="AL167" s="345">
        <f t="shared" si="194"/>
        <v>1</v>
      </c>
      <c r="AM167" s="348">
        <f t="shared" si="195"/>
        <v>391</v>
      </c>
      <c r="AN167" s="349" t="str">
        <f t="shared" si="196"/>
        <v>80-100%</v>
      </c>
      <c r="AO167" s="345">
        <f t="shared" si="197"/>
        <v>0</v>
      </c>
      <c r="AP167" s="350">
        <f t="shared" si="198"/>
        <v>0</v>
      </c>
      <c r="AQ167" s="348">
        <f t="shared" si="199"/>
        <v>0.97750000000000004</v>
      </c>
      <c r="AR167" s="348">
        <f t="shared" si="200"/>
        <v>0</v>
      </c>
      <c r="AS167" s="348">
        <f t="shared" si="201"/>
        <v>0</v>
      </c>
      <c r="AT167" s="458">
        <v>1</v>
      </c>
      <c r="AU167" s="808">
        <f t="shared" si="202"/>
        <v>391</v>
      </c>
      <c r="AV167" s="448"/>
      <c r="AW167" s="814">
        <v>29</v>
      </c>
      <c r="AX167" s="449">
        <v>0</v>
      </c>
      <c r="AY167" s="431">
        <v>0</v>
      </c>
      <c r="AZ167" s="431">
        <v>16</v>
      </c>
      <c r="BA167" s="431" t="s">
        <v>888</v>
      </c>
      <c r="BB167" s="442" t="s">
        <v>290</v>
      </c>
      <c r="BC167" s="810">
        <f t="shared" si="203"/>
        <v>0.81841432225063937</v>
      </c>
      <c r="BD167" s="348">
        <f t="shared" si="204"/>
        <v>320</v>
      </c>
      <c r="BE167" s="351">
        <f t="shared" si="205"/>
        <v>0</v>
      </c>
      <c r="BF167" s="348">
        <f t="shared" si="206"/>
        <v>0</v>
      </c>
      <c r="BG167" s="351">
        <f t="shared" si="207"/>
        <v>0.81841432225063937</v>
      </c>
      <c r="BH167" s="348">
        <f t="shared" si="208"/>
        <v>320</v>
      </c>
      <c r="BI167" s="447">
        <v>0</v>
      </c>
      <c r="BJ167" s="463">
        <v>1</v>
      </c>
      <c r="BK167" s="352">
        <f t="shared" ref="BK167:BK189" si="221">BJ167*O167</f>
        <v>391</v>
      </c>
      <c r="BL167" s="353">
        <f t="shared" ref="BL167:BL189" si="222">IF((O167/20-AZ167+BI167)&lt;0,0,(O167/20-AZ167+BI167))</f>
        <v>3.5500000000000007</v>
      </c>
      <c r="BM167" s="431">
        <v>4</v>
      </c>
      <c r="BN167" s="431" t="s">
        <v>290</v>
      </c>
      <c r="BO167" s="351">
        <f t="shared" si="209"/>
        <v>1</v>
      </c>
      <c r="BP167" s="348">
        <f t="shared" si="210"/>
        <v>391</v>
      </c>
      <c r="BQ167" s="353">
        <f t="shared" si="211"/>
        <v>0</v>
      </c>
      <c r="BR167" s="463">
        <v>1</v>
      </c>
      <c r="BS167" s="348">
        <f t="shared" si="212"/>
        <v>391</v>
      </c>
      <c r="BT167" s="431">
        <v>2</v>
      </c>
      <c r="BU167" s="351">
        <f t="shared" si="213"/>
        <v>0.51150895140664965</v>
      </c>
      <c r="BV167" s="353">
        <f t="shared" si="214"/>
        <v>0</v>
      </c>
      <c r="BW167" s="451">
        <v>0.51</v>
      </c>
      <c r="BX167" s="473"/>
      <c r="BY167" s="475"/>
      <c r="BZ167" s="663"/>
      <c r="CA167" s="666"/>
      <c r="CB167" s="354" t="str">
        <f t="shared" si="215"/>
        <v>To be realised</v>
      </c>
      <c r="CC167" s="431">
        <v>0</v>
      </c>
      <c r="CD167" s="431">
        <v>13</v>
      </c>
      <c r="CE167" s="355">
        <f t="shared" si="216"/>
        <v>0</v>
      </c>
      <c r="CF167" s="356">
        <f t="shared" si="217"/>
        <v>1</v>
      </c>
      <c r="CG167" s="348">
        <f t="shared" si="218"/>
        <v>391</v>
      </c>
      <c r="CH167" s="641" t="str">
        <f t="shared" si="219"/>
        <v>Column BN to be completed</v>
      </c>
      <c r="CI167" s="441" t="s">
        <v>935</v>
      </c>
      <c r="CJ167" s="453">
        <v>0</v>
      </c>
      <c r="CK167" s="372">
        <f t="shared" ref="CK167:CK189" si="223">CJ167*O167</f>
        <v>0</v>
      </c>
      <c r="CL167" s="441">
        <v>2</v>
      </c>
      <c r="CM167" s="357" t="str">
        <f t="shared" si="220"/>
        <v>Excellent coverage</v>
      </c>
      <c r="CN167" s="447">
        <v>0</v>
      </c>
      <c r="CO167" s="753" t="s">
        <v>65</v>
      </c>
      <c r="CP167" s="482"/>
    </row>
    <row r="168" spans="2:94" ht="30.75" customHeight="1" x14ac:dyDescent="0.2">
      <c r="B168" s="438" t="s">
        <v>154</v>
      </c>
      <c r="C168" s="430" t="s">
        <v>576</v>
      </c>
      <c r="D168" s="430" t="s">
        <v>257</v>
      </c>
      <c r="E168" s="430" t="s">
        <v>155</v>
      </c>
      <c r="F168" s="430">
        <v>97.408302000000006</v>
      </c>
      <c r="G168" s="430">
        <v>25.324567999999999</v>
      </c>
      <c r="H168" s="430" t="s">
        <v>442</v>
      </c>
      <c r="I168" s="430" t="s">
        <v>213</v>
      </c>
      <c r="J168" s="430" t="s">
        <v>813</v>
      </c>
      <c r="K168" s="430" t="s">
        <v>800</v>
      </c>
      <c r="L168" s="721">
        <v>110</v>
      </c>
      <c r="M168" s="721">
        <v>591</v>
      </c>
      <c r="N168" s="431">
        <v>369</v>
      </c>
      <c r="O168" s="660">
        <v>507</v>
      </c>
      <c r="P168" s="796" t="str">
        <f t="shared" si="187"/>
        <v>2. Medium</v>
      </c>
      <c r="Q168" s="797" t="s">
        <v>938</v>
      </c>
      <c r="R168" s="432" t="s">
        <v>275</v>
      </c>
      <c r="S168" s="793" t="s">
        <v>299</v>
      </c>
      <c r="T168" s="365" t="str">
        <f t="shared" si="188"/>
        <v>Not covered</v>
      </c>
      <c r="U168" s="437" t="s">
        <v>619</v>
      </c>
      <c r="V168" s="783" t="s">
        <v>254</v>
      </c>
      <c r="W168" s="363" t="str">
        <f t="shared" si="189"/>
        <v>Not documented</v>
      </c>
      <c r="X168" s="441">
        <v>0</v>
      </c>
      <c r="Y168" s="431">
        <v>0</v>
      </c>
      <c r="Z168" s="431" t="s">
        <v>18</v>
      </c>
      <c r="AA168" s="442" t="s">
        <v>19</v>
      </c>
      <c r="AB168" s="441">
        <v>3</v>
      </c>
      <c r="AC168" s="447">
        <v>1</v>
      </c>
      <c r="AD168" s="831">
        <v>3600</v>
      </c>
      <c r="AE168" s="454">
        <v>0</v>
      </c>
      <c r="AF168" s="463">
        <v>0</v>
      </c>
      <c r="AG168" s="455"/>
      <c r="AH168" s="368">
        <f t="shared" si="190"/>
        <v>1</v>
      </c>
      <c r="AI168" s="346">
        <f t="shared" si="191"/>
        <v>507</v>
      </c>
      <c r="AJ168" s="347">
        <f t="shared" si="192"/>
        <v>1</v>
      </c>
      <c r="AK168" s="348">
        <f t="shared" si="193"/>
        <v>507</v>
      </c>
      <c r="AL168" s="345">
        <f t="shared" si="194"/>
        <v>1</v>
      </c>
      <c r="AM168" s="348">
        <f t="shared" si="195"/>
        <v>507</v>
      </c>
      <c r="AN168" s="349" t="str">
        <f t="shared" si="196"/>
        <v>80-100%</v>
      </c>
      <c r="AO168" s="345">
        <f t="shared" si="197"/>
        <v>0</v>
      </c>
      <c r="AP168" s="350">
        <f t="shared" si="198"/>
        <v>0</v>
      </c>
      <c r="AQ168" s="348">
        <f t="shared" si="199"/>
        <v>0</v>
      </c>
      <c r="AR168" s="348">
        <f t="shared" si="200"/>
        <v>0</v>
      </c>
      <c r="AS168" s="348">
        <f t="shared" si="201"/>
        <v>0</v>
      </c>
      <c r="AT168" s="458">
        <v>1</v>
      </c>
      <c r="AU168" s="808">
        <f t="shared" si="202"/>
        <v>507</v>
      </c>
      <c r="AV168" s="448"/>
      <c r="AW168" s="814">
        <v>80</v>
      </c>
      <c r="AX168" s="449">
        <v>2</v>
      </c>
      <c r="AY168" s="431"/>
      <c r="AZ168" s="431">
        <v>24</v>
      </c>
      <c r="BA168" s="431" t="s">
        <v>891</v>
      </c>
      <c r="BB168" s="442" t="s">
        <v>289</v>
      </c>
      <c r="BC168" s="810">
        <f t="shared" si="203"/>
        <v>1</v>
      </c>
      <c r="BD168" s="348">
        <f t="shared" si="204"/>
        <v>507</v>
      </c>
      <c r="BE168" s="351">
        <f t="shared" si="205"/>
        <v>5.3254437869822535E-2</v>
      </c>
      <c r="BF168" s="348">
        <f t="shared" si="206"/>
        <v>27.000000000000025</v>
      </c>
      <c r="BG168" s="351">
        <f t="shared" si="207"/>
        <v>0.94674556213017746</v>
      </c>
      <c r="BH168" s="348">
        <f t="shared" si="208"/>
        <v>480</v>
      </c>
      <c r="BI168" s="447">
        <v>0</v>
      </c>
      <c r="BJ168" s="463">
        <v>1</v>
      </c>
      <c r="BK168" s="352">
        <f t="shared" si="221"/>
        <v>507</v>
      </c>
      <c r="BL168" s="353">
        <f t="shared" si="222"/>
        <v>1.3500000000000014</v>
      </c>
      <c r="BM168" s="431">
        <v>4</v>
      </c>
      <c r="BN168" s="431" t="s">
        <v>290</v>
      </c>
      <c r="BO168" s="351">
        <f t="shared" si="209"/>
        <v>0.78895463510848129</v>
      </c>
      <c r="BP168" s="348">
        <f t="shared" si="210"/>
        <v>400</v>
      </c>
      <c r="BQ168" s="353">
        <f t="shared" si="211"/>
        <v>1.9100000000000001</v>
      </c>
      <c r="BR168" s="463">
        <v>0.79</v>
      </c>
      <c r="BS168" s="348">
        <f t="shared" si="212"/>
        <v>400.53000000000003</v>
      </c>
      <c r="BT168" s="431">
        <v>7</v>
      </c>
      <c r="BU168" s="351">
        <f t="shared" si="213"/>
        <v>1</v>
      </c>
      <c r="BV168" s="353">
        <f t="shared" si="214"/>
        <v>0</v>
      </c>
      <c r="BW168" s="451">
        <v>1</v>
      </c>
      <c r="BX168" s="473"/>
      <c r="BY168" s="475">
        <v>42048</v>
      </c>
      <c r="BZ168" s="663" t="s">
        <v>821</v>
      </c>
      <c r="CA168" s="666"/>
      <c r="CB168" s="354" t="str">
        <f t="shared" si="215"/>
        <v>To be realised</v>
      </c>
      <c r="CC168" s="431">
        <v>110</v>
      </c>
      <c r="CD168" s="431">
        <v>7</v>
      </c>
      <c r="CE168" s="355">
        <f t="shared" si="216"/>
        <v>110</v>
      </c>
      <c r="CF168" s="356">
        <f t="shared" si="217"/>
        <v>0</v>
      </c>
      <c r="CG168" s="348">
        <f t="shared" si="218"/>
        <v>0</v>
      </c>
      <c r="CH168" s="641">
        <f t="shared" si="219"/>
        <v>5</v>
      </c>
      <c r="CI168" s="441" t="s">
        <v>935</v>
      </c>
      <c r="CJ168" s="453">
        <v>0</v>
      </c>
      <c r="CK168" s="372">
        <f t="shared" si="223"/>
        <v>0</v>
      </c>
      <c r="CL168" s="441">
        <v>2</v>
      </c>
      <c r="CM168" s="357" t="str">
        <f t="shared" si="220"/>
        <v>Excellent coverage</v>
      </c>
      <c r="CN168" s="447">
        <v>0</v>
      </c>
      <c r="CO168" s="753" t="s">
        <v>65</v>
      </c>
      <c r="CP168" s="482"/>
    </row>
    <row r="169" spans="2:94" ht="30.75" customHeight="1" x14ac:dyDescent="0.2">
      <c r="B169" s="438" t="s">
        <v>154</v>
      </c>
      <c r="C169" s="430" t="s">
        <v>577</v>
      </c>
      <c r="D169" s="430" t="s">
        <v>260</v>
      </c>
      <c r="E169" s="430" t="s">
        <v>156</v>
      </c>
      <c r="F169" s="430">
        <v>97.807182999999995</v>
      </c>
      <c r="G169" s="430">
        <v>25.200333000000001</v>
      </c>
      <c r="H169" s="430" t="s">
        <v>442</v>
      </c>
      <c r="I169" s="430" t="s">
        <v>221</v>
      </c>
      <c r="J169" s="430" t="s">
        <v>814</v>
      </c>
      <c r="K169" s="430" t="s">
        <v>800</v>
      </c>
      <c r="L169" s="721">
        <v>169</v>
      </c>
      <c r="M169" s="721">
        <v>1216</v>
      </c>
      <c r="N169" s="431">
        <v>1212</v>
      </c>
      <c r="O169" s="660">
        <v>1212</v>
      </c>
      <c r="P169" s="796" t="str">
        <f t="shared" si="187"/>
        <v>2. Medium</v>
      </c>
      <c r="Q169" s="797" t="s">
        <v>330</v>
      </c>
      <c r="R169" s="432" t="s">
        <v>234</v>
      </c>
      <c r="S169" s="793" t="s">
        <v>299</v>
      </c>
      <c r="T169" s="365" t="str">
        <f t="shared" si="188"/>
        <v>Not covered</v>
      </c>
      <c r="U169" s="437" t="s">
        <v>619</v>
      </c>
      <c r="V169" s="783" t="s">
        <v>254</v>
      </c>
      <c r="W169" s="363" t="str">
        <f t="shared" si="189"/>
        <v>Not documented</v>
      </c>
      <c r="X169" s="441">
        <v>0</v>
      </c>
      <c r="Y169" s="431">
        <v>0</v>
      </c>
      <c r="Z169" s="431" t="s">
        <v>18</v>
      </c>
      <c r="AA169" s="442" t="s">
        <v>19</v>
      </c>
      <c r="AB169" s="441">
        <v>0</v>
      </c>
      <c r="AC169" s="447">
        <v>0</v>
      </c>
      <c r="AD169" s="831">
        <v>30000</v>
      </c>
      <c r="AE169" s="454">
        <v>0</v>
      </c>
      <c r="AF169" s="463">
        <v>0</v>
      </c>
      <c r="AG169" s="455"/>
      <c r="AH169" s="368">
        <f t="shared" si="190"/>
        <v>1</v>
      </c>
      <c r="AI169" s="346">
        <f t="shared" si="191"/>
        <v>1212</v>
      </c>
      <c r="AJ169" s="347">
        <f t="shared" si="192"/>
        <v>1</v>
      </c>
      <c r="AK169" s="348">
        <f t="shared" si="193"/>
        <v>1212</v>
      </c>
      <c r="AL169" s="345">
        <f t="shared" si="194"/>
        <v>1</v>
      </c>
      <c r="AM169" s="348">
        <f t="shared" si="195"/>
        <v>1212</v>
      </c>
      <c r="AN169" s="349" t="str">
        <f t="shared" si="196"/>
        <v>80-100%</v>
      </c>
      <c r="AO169" s="345">
        <f t="shared" si="197"/>
        <v>0</v>
      </c>
      <c r="AP169" s="350">
        <f t="shared" si="198"/>
        <v>0</v>
      </c>
      <c r="AQ169" s="348">
        <f t="shared" si="199"/>
        <v>3.03</v>
      </c>
      <c r="AR169" s="348">
        <f t="shared" si="200"/>
        <v>0</v>
      </c>
      <c r="AS169" s="348">
        <f t="shared" si="201"/>
        <v>0</v>
      </c>
      <c r="AT169" s="458">
        <v>1</v>
      </c>
      <c r="AU169" s="808">
        <f t="shared" si="202"/>
        <v>1212</v>
      </c>
      <c r="AV169" s="448"/>
      <c r="AW169" s="814">
        <v>4</v>
      </c>
      <c r="AX169" s="449">
        <v>70</v>
      </c>
      <c r="AY169" s="431">
        <v>70</v>
      </c>
      <c r="AZ169" s="431">
        <v>0</v>
      </c>
      <c r="BA169" s="431"/>
      <c r="BB169" s="442" t="s">
        <v>289</v>
      </c>
      <c r="BC169" s="810">
        <f t="shared" si="203"/>
        <v>1</v>
      </c>
      <c r="BD169" s="348">
        <f t="shared" si="204"/>
        <v>1212</v>
      </c>
      <c r="BE169" s="351">
        <f t="shared" si="205"/>
        <v>1</v>
      </c>
      <c r="BF169" s="348">
        <f t="shared" si="206"/>
        <v>1212</v>
      </c>
      <c r="BG169" s="351">
        <f t="shared" si="207"/>
        <v>0</v>
      </c>
      <c r="BH169" s="348">
        <f t="shared" si="208"/>
        <v>0</v>
      </c>
      <c r="BI169" s="447">
        <v>0</v>
      </c>
      <c r="BJ169" s="463">
        <v>1</v>
      </c>
      <c r="BK169" s="352">
        <f t="shared" si="221"/>
        <v>1212</v>
      </c>
      <c r="BL169" s="353">
        <f t="shared" si="222"/>
        <v>60.6</v>
      </c>
      <c r="BM169" s="431">
        <v>3</v>
      </c>
      <c r="BN169" s="431" t="s">
        <v>290</v>
      </c>
      <c r="BO169" s="351">
        <f t="shared" si="209"/>
        <v>0.24752475247524752</v>
      </c>
      <c r="BP169" s="348">
        <f t="shared" si="210"/>
        <v>300</v>
      </c>
      <c r="BQ169" s="353">
        <f t="shared" si="211"/>
        <v>9.16</v>
      </c>
      <c r="BR169" s="463">
        <v>0.25</v>
      </c>
      <c r="BS169" s="348">
        <f t="shared" si="212"/>
        <v>303</v>
      </c>
      <c r="BT169" s="431">
        <v>0</v>
      </c>
      <c r="BU169" s="351">
        <f t="shared" si="213"/>
        <v>0</v>
      </c>
      <c r="BV169" s="353">
        <f t="shared" si="214"/>
        <v>12.16</v>
      </c>
      <c r="BW169" s="451">
        <v>0</v>
      </c>
      <c r="BX169" s="473" t="s">
        <v>783</v>
      </c>
      <c r="BY169" s="475">
        <v>42173</v>
      </c>
      <c r="BZ169" s="663" t="s">
        <v>821</v>
      </c>
      <c r="CA169" s="666"/>
      <c r="CB169" s="354">
        <f t="shared" si="215"/>
        <v>42538</v>
      </c>
      <c r="CC169" s="431">
        <v>170</v>
      </c>
      <c r="CD169" s="431">
        <v>0</v>
      </c>
      <c r="CE169" s="355">
        <f t="shared" si="216"/>
        <v>0</v>
      </c>
      <c r="CF169" s="356">
        <f t="shared" si="217"/>
        <v>1</v>
      </c>
      <c r="CG169" s="348">
        <f t="shared" si="218"/>
        <v>1212</v>
      </c>
      <c r="CH169" s="641">
        <f t="shared" si="219"/>
        <v>8</v>
      </c>
      <c r="CI169" s="441"/>
      <c r="CJ169" s="453">
        <v>0</v>
      </c>
      <c r="CK169" s="372">
        <f t="shared" si="223"/>
        <v>0</v>
      </c>
      <c r="CL169" s="441">
        <v>2</v>
      </c>
      <c r="CM169" s="357" t="str">
        <f t="shared" si="220"/>
        <v>Good coverage</v>
      </c>
      <c r="CN169" s="447">
        <v>0</v>
      </c>
      <c r="CO169" s="753" t="s">
        <v>65</v>
      </c>
      <c r="CP169" s="482"/>
    </row>
    <row r="170" spans="2:94" ht="30.75" customHeight="1" thickBot="1" x14ac:dyDescent="0.25">
      <c r="B170" s="438" t="s">
        <v>154</v>
      </c>
      <c r="C170" s="430" t="s">
        <v>579</v>
      </c>
      <c r="D170" s="430" t="s">
        <v>257</v>
      </c>
      <c r="E170" s="430" t="s">
        <v>157</v>
      </c>
      <c r="F170" s="430">
        <v>97.451965000000001</v>
      </c>
      <c r="G170" s="430">
        <v>25.356632000000001</v>
      </c>
      <c r="H170" s="430" t="s">
        <v>442</v>
      </c>
      <c r="I170" s="430" t="s">
        <v>213</v>
      </c>
      <c r="J170" s="430" t="s">
        <v>813</v>
      </c>
      <c r="K170" s="430" t="s">
        <v>800</v>
      </c>
      <c r="L170" s="721">
        <v>21</v>
      </c>
      <c r="M170" s="721">
        <v>111</v>
      </c>
      <c r="N170" s="431">
        <v>115</v>
      </c>
      <c r="O170" s="660">
        <v>115</v>
      </c>
      <c r="P170" s="796" t="str">
        <f t="shared" si="187"/>
        <v>1. Small</v>
      </c>
      <c r="Q170" s="797" t="s">
        <v>330</v>
      </c>
      <c r="R170" s="432" t="s">
        <v>275</v>
      </c>
      <c r="S170" s="793" t="s">
        <v>299</v>
      </c>
      <c r="T170" s="365" t="str">
        <f t="shared" si="188"/>
        <v>Not covered</v>
      </c>
      <c r="U170" s="437" t="s">
        <v>619</v>
      </c>
      <c r="V170" s="783" t="s">
        <v>254</v>
      </c>
      <c r="W170" s="364" t="str">
        <f t="shared" si="189"/>
        <v>Not documented</v>
      </c>
      <c r="X170" s="441">
        <v>0</v>
      </c>
      <c r="Y170" s="431">
        <v>0</v>
      </c>
      <c r="Z170" s="431" t="s">
        <v>19</v>
      </c>
      <c r="AA170" s="442" t="s">
        <v>19</v>
      </c>
      <c r="AB170" s="441">
        <v>1</v>
      </c>
      <c r="AC170" s="447">
        <v>0</v>
      </c>
      <c r="AD170" s="831">
        <v>2000</v>
      </c>
      <c r="AE170" s="454">
        <v>0</v>
      </c>
      <c r="AF170" s="463">
        <v>1</v>
      </c>
      <c r="AG170" s="455" t="s">
        <v>830</v>
      </c>
      <c r="AH170" s="368">
        <f t="shared" si="190"/>
        <v>1</v>
      </c>
      <c r="AI170" s="346">
        <f t="shared" si="191"/>
        <v>115</v>
      </c>
      <c r="AJ170" s="347">
        <f t="shared" si="192"/>
        <v>1</v>
      </c>
      <c r="AK170" s="348">
        <f t="shared" si="193"/>
        <v>115</v>
      </c>
      <c r="AL170" s="345">
        <f t="shared" si="194"/>
        <v>1</v>
      </c>
      <c r="AM170" s="348">
        <f t="shared" si="195"/>
        <v>115</v>
      </c>
      <c r="AN170" s="349" t="str">
        <f t="shared" si="196"/>
        <v>80-100%</v>
      </c>
      <c r="AO170" s="345">
        <f t="shared" si="197"/>
        <v>0</v>
      </c>
      <c r="AP170" s="350">
        <f t="shared" si="198"/>
        <v>0</v>
      </c>
      <c r="AQ170" s="348">
        <f t="shared" si="199"/>
        <v>0</v>
      </c>
      <c r="AR170" s="348">
        <f t="shared" si="200"/>
        <v>21</v>
      </c>
      <c r="AS170" s="348">
        <f t="shared" si="201"/>
        <v>0</v>
      </c>
      <c r="AT170" s="458">
        <v>1</v>
      </c>
      <c r="AU170" s="808">
        <f t="shared" si="202"/>
        <v>115</v>
      </c>
      <c r="AV170" s="448"/>
      <c r="AW170" s="814">
        <v>8</v>
      </c>
      <c r="AX170" s="449">
        <v>0</v>
      </c>
      <c r="AY170" s="431"/>
      <c r="AZ170" s="431">
        <v>6</v>
      </c>
      <c r="BA170" s="431"/>
      <c r="BB170" s="442" t="s">
        <v>289</v>
      </c>
      <c r="BC170" s="810">
        <f t="shared" si="203"/>
        <v>1</v>
      </c>
      <c r="BD170" s="348">
        <f t="shared" si="204"/>
        <v>115</v>
      </c>
      <c r="BE170" s="351">
        <f t="shared" si="205"/>
        <v>0</v>
      </c>
      <c r="BF170" s="348">
        <f t="shared" si="206"/>
        <v>0</v>
      </c>
      <c r="BG170" s="351">
        <f t="shared" si="207"/>
        <v>1</v>
      </c>
      <c r="BH170" s="348">
        <f t="shared" si="208"/>
        <v>115</v>
      </c>
      <c r="BI170" s="447">
        <v>0</v>
      </c>
      <c r="BJ170" s="463">
        <v>1</v>
      </c>
      <c r="BK170" s="352">
        <f t="shared" si="221"/>
        <v>115</v>
      </c>
      <c r="BL170" s="353">
        <f t="shared" si="222"/>
        <v>0</v>
      </c>
      <c r="BM170" s="431">
        <v>2</v>
      </c>
      <c r="BN170" s="431" t="s">
        <v>89</v>
      </c>
      <c r="BO170" s="351">
        <f t="shared" si="209"/>
        <v>1</v>
      </c>
      <c r="BP170" s="348">
        <f t="shared" si="210"/>
        <v>115</v>
      </c>
      <c r="BQ170" s="353">
        <f t="shared" si="211"/>
        <v>0</v>
      </c>
      <c r="BR170" s="463">
        <v>1</v>
      </c>
      <c r="BS170" s="348">
        <f t="shared" si="212"/>
        <v>115</v>
      </c>
      <c r="BT170" s="431">
        <v>0</v>
      </c>
      <c r="BU170" s="351">
        <f t="shared" si="213"/>
        <v>0</v>
      </c>
      <c r="BV170" s="353">
        <f t="shared" si="214"/>
        <v>1.1100000000000001</v>
      </c>
      <c r="BW170" s="451">
        <v>0</v>
      </c>
      <c r="BX170" s="473" t="s">
        <v>857</v>
      </c>
      <c r="BY170" s="475">
        <v>42173</v>
      </c>
      <c r="BZ170" s="663" t="s">
        <v>821</v>
      </c>
      <c r="CA170" s="666"/>
      <c r="CB170" s="354">
        <f t="shared" si="215"/>
        <v>42538</v>
      </c>
      <c r="CC170" s="431">
        <v>21</v>
      </c>
      <c r="CD170" s="431">
        <v>0</v>
      </c>
      <c r="CE170" s="355">
        <f t="shared" si="216"/>
        <v>0</v>
      </c>
      <c r="CF170" s="356">
        <f t="shared" si="217"/>
        <v>1</v>
      </c>
      <c r="CG170" s="348">
        <f t="shared" si="218"/>
        <v>115</v>
      </c>
      <c r="CH170" s="641">
        <f t="shared" si="219"/>
        <v>8</v>
      </c>
      <c r="CI170" s="449"/>
      <c r="CJ170" s="453">
        <v>0</v>
      </c>
      <c r="CK170" s="372">
        <f t="shared" si="223"/>
        <v>0</v>
      </c>
      <c r="CL170" s="441">
        <v>2</v>
      </c>
      <c r="CM170" s="357" t="str">
        <f t="shared" si="220"/>
        <v>Excellent coverage</v>
      </c>
      <c r="CN170" s="447">
        <v>0</v>
      </c>
      <c r="CO170" s="753" t="s">
        <v>65</v>
      </c>
      <c r="CP170" s="482"/>
    </row>
    <row r="171" spans="2:94" ht="30.75" customHeight="1" thickBot="1" x14ac:dyDescent="0.25">
      <c r="B171" s="438" t="s">
        <v>154</v>
      </c>
      <c r="C171" s="430" t="s">
        <v>580</v>
      </c>
      <c r="D171" s="430" t="s">
        <v>260</v>
      </c>
      <c r="E171" s="430" t="s">
        <v>158</v>
      </c>
      <c r="F171" s="430">
        <v>97.715230000000005</v>
      </c>
      <c r="G171" s="430">
        <v>24.980250000000002</v>
      </c>
      <c r="H171" s="430" t="s">
        <v>442</v>
      </c>
      <c r="I171" s="430" t="s">
        <v>221</v>
      </c>
      <c r="J171" s="430" t="s">
        <v>814</v>
      </c>
      <c r="K171" s="430" t="s">
        <v>800</v>
      </c>
      <c r="L171" s="721">
        <v>609</v>
      </c>
      <c r="M171" s="721">
        <v>2627</v>
      </c>
      <c r="N171" s="431">
        <v>2619</v>
      </c>
      <c r="O171" s="660">
        <v>2619</v>
      </c>
      <c r="P171" s="796" t="str">
        <f t="shared" si="187"/>
        <v>4. Big</v>
      </c>
      <c r="Q171" s="797" t="s">
        <v>330</v>
      </c>
      <c r="R171" s="432" t="s">
        <v>276</v>
      </c>
      <c r="S171" s="793" t="s">
        <v>299</v>
      </c>
      <c r="T171" s="365" t="str">
        <f t="shared" si="188"/>
        <v>Not covered</v>
      </c>
      <c r="U171" s="437" t="s">
        <v>619</v>
      </c>
      <c r="V171" s="783" t="s">
        <v>254</v>
      </c>
      <c r="W171" s="364" t="str">
        <f t="shared" si="189"/>
        <v>Not documented</v>
      </c>
      <c r="X171" s="441">
        <v>0</v>
      </c>
      <c r="Y171" s="431">
        <v>0</v>
      </c>
      <c r="Z171" s="431" t="s">
        <v>18</v>
      </c>
      <c r="AA171" s="442" t="s">
        <v>19</v>
      </c>
      <c r="AB171" s="441">
        <v>0</v>
      </c>
      <c r="AC171" s="447">
        <v>0</v>
      </c>
      <c r="AD171" s="831">
        <v>45000</v>
      </c>
      <c r="AE171" s="454">
        <v>0</v>
      </c>
      <c r="AF171" s="463">
        <v>0</v>
      </c>
      <c r="AG171" s="455"/>
      <c r="AH171" s="368">
        <f t="shared" si="190"/>
        <v>1</v>
      </c>
      <c r="AI171" s="346">
        <f t="shared" si="191"/>
        <v>2619</v>
      </c>
      <c r="AJ171" s="347">
        <f t="shared" si="192"/>
        <v>1</v>
      </c>
      <c r="AK171" s="348">
        <f t="shared" si="193"/>
        <v>2619</v>
      </c>
      <c r="AL171" s="345">
        <f t="shared" si="194"/>
        <v>1</v>
      </c>
      <c r="AM171" s="348">
        <f t="shared" si="195"/>
        <v>2619</v>
      </c>
      <c r="AN171" s="349" t="str">
        <f t="shared" si="196"/>
        <v>80-100%</v>
      </c>
      <c r="AO171" s="345">
        <f t="shared" si="197"/>
        <v>0</v>
      </c>
      <c r="AP171" s="350">
        <f t="shared" si="198"/>
        <v>0</v>
      </c>
      <c r="AQ171" s="348">
        <f t="shared" si="199"/>
        <v>6.5475000000000003</v>
      </c>
      <c r="AR171" s="348">
        <f t="shared" si="200"/>
        <v>0</v>
      </c>
      <c r="AS171" s="348">
        <f t="shared" si="201"/>
        <v>0</v>
      </c>
      <c r="AT171" s="458">
        <v>1</v>
      </c>
      <c r="AU171" s="808">
        <f t="shared" si="202"/>
        <v>2619</v>
      </c>
      <c r="AV171" s="448"/>
      <c r="AW171" s="814">
        <v>7</v>
      </c>
      <c r="AX171" s="449">
        <v>229</v>
      </c>
      <c r="AY171" s="431">
        <v>229</v>
      </c>
      <c r="AZ171" s="431">
        <v>0</v>
      </c>
      <c r="BA171" s="431"/>
      <c r="BB171" s="442" t="s">
        <v>289</v>
      </c>
      <c r="BC171" s="810">
        <f t="shared" si="203"/>
        <v>1</v>
      </c>
      <c r="BD171" s="348">
        <f t="shared" si="204"/>
        <v>2619</v>
      </c>
      <c r="BE171" s="351">
        <f t="shared" si="205"/>
        <v>1</v>
      </c>
      <c r="BF171" s="348">
        <f t="shared" si="206"/>
        <v>2619</v>
      </c>
      <c r="BG171" s="351">
        <f t="shared" si="207"/>
        <v>0</v>
      </c>
      <c r="BH171" s="348">
        <f t="shared" si="208"/>
        <v>0</v>
      </c>
      <c r="BI171" s="447">
        <v>0</v>
      </c>
      <c r="BJ171" s="463">
        <v>1</v>
      </c>
      <c r="BK171" s="352">
        <f t="shared" si="221"/>
        <v>2619</v>
      </c>
      <c r="BL171" s="353">
        <f t="shared" si="222"/>
        <v>130.94999999999999</v>
      </c>
      <c r="BM171" s="431">
        <v>26</v>
      </c>
      <c r="BN171" s="431" t="s">
        <v>290</v>
      </c>
      <c r="BO171" s="351">
        <f t="shared" si="209"/>
        <v>0.99274532264222981</v>
      </c>
      <c r="BP171" s="348">
        <f t="shared" si="210"/>
        <v>2600</v>
      </c>
      <c r="BQ171" s="353">
        <f t="shared" si="211"/>
        <v>0.26999999999999957</v>
      </c>
      <c r="BR171" s="463">
        <v>0.99</v>
      </c>
      <c r="BS171" s="348">
        <f t="shared" si="212"/>
        <v>2592.81</v>
      </c>
      <c r="BT171" s="431">
        <v>0</v>
      </c>
      <c r="BU171" s="351">
        <f t="shared" si="213"/>
        <v>0</v>
      </c>
      <c r="BV171" s="353">
        <f t="shared" si="214"/>
        <v>26.27</v>
      </c>
      <c r="BW171" s="451">
        <v>0</v>
      </c>
      <c r="BX171" s="473" t="s">
        <v>784</v>
      </c>
      <c r="BY171" s="475">
        <v>42053</v>
      </c>
      <c r="BZ171" s="663" t="s">
        <v>819</v>
      </c>
      <c r="CA171" s="666"/>
      <c r="CB171" s="354" t="str">
        <f t="shared" si="215"/>
        <v>To be realised</v>
      </c>
      <c r="CC171" s="431">
        <v>645</v>
      </c>
      <c r="CD171" s="431">
        <v>4</v>
      </c>
      <c r="CE171" s="355">
        <f t="shared" si="216"/>
        <v>609</v>
      </c>
      <c r="CF171" s="356">
        <f t="shared" si="217"/>
        <v>0</v>
      </c>
      <c r="CG171" s="348">
        <f t="shared" si="218"/>
        <v>0</v>
      </c>
      <c r="CH171" s="641">
        <f t="shared" si="219"/>
        <v>8</v>
      </c>
      <c r="CI171" s="449"/>
      <c r="CJ171" s="453">
        <v>0</v>
      </c>
      <c r="CK171" s="372">
        <f t="shared" si="223"/>
        <v>0</v>
      </c>
      <c r="CL171" s="441">
        <v>2</v>
      </c>
      <c r="CM171" s="357" t="str">
        <f t="shared" si="220"/>
        <v>Low coverage</v>
      </c>
      <c r="CN171" s="447">
        <v>0</v>
      </c>
      <c r="CO171" s="753" t="s">
        <v>65</v>
      </c>
      <c r="CP171" s="482"/>
    </row>
    <row r="172" spans="2:94" ht="30.75" customHeight="1" thickBot="1" x14ac:dyDescent="0.25">
      <c r="B172" s="438" t="s">
        <v>154</v>
      </c>
      <c r="C172" s="430" t="s">
        <v>581</v>
      </c>
      <c r="D172" s="430" t="s">
        <v>257</v>
      </c>
      <c r="E172" s="430" t="s">
        <v>159</v>
      </c>
      <c r="F172" s="430">
        <v>97.435233999999994</v>
      </c>
      <c r="G172" s="430">
        <v>25.425276</v>
      </c>
      <c r="H172" s="430" t="s">
        <v>442</v>
      </c>
      <c r="I172" s="430" t="s">
        <v>213</v>
      </c>
      <c r="J172" s="430" t="s">
        <v>813</v>
      </c>
      <c r="K172" s="430" t="s">
        <v>800</v>
      </c>
      <c r="L172" s="721">
        <v>135</v>
      </c>
      <c r="M172" s="721">
        <v>724</v>
      </c>
      <c r="N172" s="431">
        <v>462</v>
      </c>
      <c r="O172" s="660">
        <v>738</v>
      </c>
      <c r="P172" s="796" t="str">
        <f t="shared" si="187"/>
        <v>2. Medium</v>
      </c>
      <c r="Q172" s="797" t="s">
        <v>938</v>
      </c>
      <c r="R172" s="432" t="s">
        <v>275</v>
      </c>
      <c r="S172" s="793" t="s">
        <v>299</v>
      </c>
      <c r="T172" s="365" t="str">
        <f t="shared" si="188"/>
        <v>Not covered</v>
      </c>
      <c r="U172" s="437" t="s">
        <v>619</v>
      </c>
      <c r="V172" s="783" t="s">
        <v>254</v>
      </c>
      <c r="W172" s="364" t="str">
        <f t="shared" si="189"/>
        <v>Not documented</v>
      </c>
      <c r="X172" s="441">
        <v>0</v>
      </c>
      <c r="Y172" s="431">
        <v>0</v>
      </c>
      <c r="Z172" s="431" t="s">
        <v>18</v>
      </c>
      <c r="AA172" s="442" t="s">
        <v>19</v>
      </c>
      <c r="AB172" s="441">
        <v>4</v>
      </c>
      <c r="AC172" s="447">
        <v>1</v>
      </c>
      <c r="AD172" s="831">
        <v>2500</v>
      </c>
      <c r="AE172" s="454">
        <v>0</v>
      </c>
      <c r="AF172" s="463">
        <v>0</v>
      </c>
      <c r="AG172" s="455"/>
      <c r="AH172" s="368">
        <f t="shared" si="190"/>
        <v>1</v>
      </c>
      <c r="AI172" s="346">
        <f t="shared" si="191"/>
        <v>738</v>
      </c>
      <c r="AJ172" s="347">
        <f t="shared" si="192"/>
        <v>1</v>
      </c>
      <c r="AK172" s="348">
        <f t="shared" si="193"/>
        <v>738</v>
      </c>
      <c r="AL172" s="345">
        <f t="shared" si="194"/>
        <v>1</v>
      </c>
      <c r="AM172" s="348">
        <f t="shared" si="195"/>
        <v>738</v>
      </c>
      <c r="AN172" s="349" t="str">
        <f t="shared" si="196"/>
        <v>80-100%</v>
      </c>
      <c r="AO172" s="345">
        <f t="shared" si="197"/>
        <v>0</v>
      </c>
      <c r="AP172" s="350">
        <f t="shared" si="198"/>
        <v>0</v>
      </c>
      <c r="AQ172" s="348">
        <f t="shared" si="199"/>
        <v>0</v>
      </c>
      <c r="AR172" s="348">
        <f t="shared" si="200"/>
        <v>0</v>
      </c>
      <c r="AS172" s="348">
        <f t="shared" si="201"/>
        <v>0</v>
      </c>
      <c r="AT172" s="458">
        <v>1</v>
      </c>
      <c r="AU172" s="808">
        <f t="shared" si="202"/>
        <v>738</v>
      </c>
      <c r="AV172" s="448"/>
      <c r="AW172" s="814">
        <v>10</v>
      </c>
      <c r="AX172" s="449">
        <v>2</v>
      </c>
      <c r="AY172" s="431"/>
      <c r="AZ172" s="431">
        <v>28</v>
      </c>
      <c r="BA172" s="431" t="s">
        <v>888</v>
      </c>
      <c r="BB172" s="442" t="s">
        <v>289</v>
      </c>
      <c r="BC172" s="810">
        <f t="shared" si="203"/>
        <v>0.81300813008130079</v>
      </c>
      <c r="BD172" s="348">
        <f t="shared" si="204"/>
        <v>600</v>
      </c>
      <c r="BE172" s="351">
        <f t="shared" si="205"/>
        <v>5.4200542005420016E-2</v>
      </c>
      <c r="BF172" s="348">
        <f t="shared" si="206"/>
        <v>39.999999999999972</v>
      </c>
      <c r="BG172" s="351">
        <f t="shared" si="207"/>
        <v>0.75880758807588078</v>
      </c>
      <c r="BH172" s="348">
        <f t="shared" si="208"/>
        <v>560</v>
      </c>
      <c r="BI172" s="447">
        <v>0</v>
      </c>
      <c r="BJ172" s="463">
        <v>0.81</v>
      </c>
      <c r="BK172" s="352">
        <f t="shared" si="221"/>
        <v>597.78000000000009</v>
      </c>
      <c r="BL172" s="353">
        <f t="shared" si="222"/>
        <v>8.8999999999999986</v>
      </c>
      <c r="BM172" s="431">
        <v>6</v>
      </c>
      <c r="BN172" s="431" t="s">
        <v>290</v>
      </c>
      <c r="BO172" s="351">
        <f t="shared" si="209"/>
        <v>0.81300813008130079</v>
      </c>
      <c r="BP172" s="348">
        <f t="shared" si="210"/>
        <v>600</v>
      </c>
      <c r="BQ172" s="353">
        <f t="shared" si="211"/>
        <v>1.2400000000000002</v>
      </c>
      <c r="BR172" s="463">
        <v>0.81</v>
      </c>
      <c r="BS172" s="348">
        <f t="shared" si="212"/>
        <v>597.78000000000009</v>
      </c>
      <c r="BT172" s="431">
        <v>5</v>
      </c>
      <c r="BU172" s="351">
        <f t="shared" si="213"/>
        <v>0.6775067750677507</v>
      </c>
      <c r="BV172" s="353">
        <f t="shared" si="214"/>
        <v>2.2400000000000002</v>
      </c>
      <c r="BW172" s="451">
        <v>1</v>
      </c>
      <c r="BX172" s="473"/>
      <c r="BY172" s="475">
        <v>42048</v>
      </c>
      <c r="BZ172" s="663" t="s">
        <v>821</v>
      </c>
      <c r="CA172" s="666"/>
      <c r="CB172" s="354" t="str">
        <f t="shared" si="215"/>
        <v>To be realised</v>
      </c>
      <c r="CC172" s="431">
        <v>135</v>
      </c>
      <c r="CD172" s="431">
        <v>7</v>
      </c>
      <c r="CE172" s="355">
        <f t="shared" si="216"/>
        <v>135</v>
      </c>
      <c r="CF172" s="356">
        <f t="shared" si="217"/>
        <v>0</v>
      </c>
      <c r="CG172" s="348">
        <f t="shared" si="218"/>
        <v>0</v>
      </c>
      <c r="CH172" s="641">
        <f t="shared" si="219"/>
        <v>5</v>
      </c>
      <c r="CI172" s="441"/>
      <c r="CJ172" s="453">
        <v>0</v>
      </c>
      <c r="CK172" s="372">
        <f t="shared" si="223"/>
        <v>0</v>
      </c>
      <c r="CL172" s="441">
        <v>2</v>
      </c>
      <c r="CM172" s="357" t="str">
        <f t="shared" si="220"/>
        <v>Excellent coverage</v>
      </c>
      <c r="CN172" s="447">
        <v>0</v>
      </c>
      <c r="CO172" s="753" t="s">
        <v>65</v>
      </c>
      <c r="CP172" s="482"/>
    </row>
    <row r="173" spans="2:94" ht="30.75" customHeight="1" thickBot="1" x14ac:dyDescent="0.25">
      <c r="B173" s="438" t="s">
        <v>154</v>
      </c>
      <c r="C173" s="430" t="s">
        <v>582</v>
      </c>
      <c r="D173" s="430" t="s">
        <v>257</v>
      </c>
      <c r="E173" s="430" t="s">
        <v>160</v>
      </c>
      <c r="F173" s="430">
        <v>97.438450000000003</v>
      </c>
      <c r="G173" s="430">
        <v>25.415900000000001</v>
      </c>
      <c r="H173" s="430" t="s">
        <v>442</v>
      </c>
      <c r="I173" s="430" t="s">
        <v>213</v>
      </c>
      <c r="J173" s="430" t="s">
        <v>813</v>
      </c>
      <c r="K173" s="430" t="s">
        <v>800</v>
      </c>
      <c r="L173" s="721">
        <v>227</v>
      </c>
      <c r="M173" s="721">
        <v>1212</v>
      </c>
      <c r="N173" s="431">
        <v>1234</v>
      </c>
      <c r="O173" s="660">
        <v>1234</v>
      </c>
      <c r="P173" s="796" t="str">
        <f t="shared" si="187"/>
        <v>2. Medium</v>
      </c>
      <c r="Q173" s="797" t="s">
        <v>828</v>
      </c>
      <c r="R173" s="432" t="s">
        <v>230</v>
      </c>
      <c r="S173" s="436" t="s">
        <v>230</v>
      </c>
      <c r="T173" s="365" t="str">
        <f t="shared" si="188"/>
        <v>Covered</v>
      </c>
      <c r="U173" s="437">
        <v>42735</v>
      </c>
      <c r="V173" s="784" t="s">
        <v>252</v>
      </c>
      <c r="W173" s="364" t="str">
        <f t="shared" si="189"/>
        <v>Documented</v>
      </c>
      <c r="X173" s="441">
        <v>0</v>
      </c>
      <c r="Y173" s="431">
        <v>0</v>
      </c>
      <c r="Z173" s="431" t="s">
        <v>18</v>
      </c>
      <c r="AA173" s="442" t="s">
        <v>19</v>
      </c>
      <c r="AB173" s="441">
        <v>10</v>
      </c>
      <c r="AC173" s="447">
        <v>1</v>
      </c>
      <c r="AD173" s="831">
        <v>15000</v>
      </c>
      <c r="AE173" s="454">
        <v>0</v>
      </c>
      <c r="AF173" s="463">
        <v>1</v>
      </c>
      <c r="AG173" s="455"/>
      <c r="AH173" s="368">
        <f t="shared" si="190"/>
        <v>1</v>
      </c>
      <c r="AI173" s="346">
        <f t="shared" si="191"/>
        <v>1234</v>
      </c>
      <c r="AJ173" s="347">
        <f t="shared" si="192"/>
        <v>1</v>
      </c>
      <c r="AK173" s="348">
        <f t="shared" si="193"/>
        <v>1234</v>
      </c>
      <c r="AL173" s="345">
        <f t="shared" si="194"/>
        <v>1</v>
      </c>
      <c r="AM173" s="348">
        <f t="shared" si="195"/>
        <v>1234</v>
      </c>
      <c r="AN173" s="349" t="str">
        <f t="shared" si="196"/>
        <v>80-100%</v>
      </c>
      <c r="AO173" s="345">
        <f t="shared" si="197"/>
        <v>0</v>
      </c>
      <c r="AP173" s="350">
        <f t="shared" si="198"/>
        <v>0</v>
      </c>
      <c r="AQ173" s="348">
        <f t="shared" si="199"/>
        <v>0</v>
      </c>
      <c r="AR173" s="348">
        <f t="shared" si="200"/>
        <v>227</v>
      </c>
      <c r="AS173" s="348">
        <f t="shared" si="201"/>
        <v>0</v>
      </c>
      <c r="AT173" s="458">
        <v>1</v>
      </c>
      <c r="AU173" s="808">
        <f t="shared" si="202"/>
        <v>1234</v>
      </c>
      <c r="AV173" s="448"/>
      <c r="AW173" s="814">
        <v>0</v>
      </c>
      <c r="AX173" s="449">
        <v>0</v>
      </c>
      <c r="AY173" s="431"/>
      <c r="AZ173" s="431">
        <v>16</v>
      </c>
      <c r="BA173" s="431"/>
      <c r="BB173" s="442" t="s">
        <v>290</v>
      </c>
      <c r="BC173" s="810">
        <f t="shared" si="203"/>
        <v>0.2593192868719611</v>
      </c>
      <c r="BD173" s="348">
        <f t="shared" si="204"/>
        <v>320</v>
      </c>
      <c r="BE173" s="351">
        <f t="shared" si="205"/>
        <v>0</v>
      </c>
      <c r="BF173" s="348">
        <f t="shared" si="206"/>
        <v>0</v>
      </c>
      <c r="BG173" s="351">
        <f t="shared" si="207"/>
        <v>0.2593192868719611</v>
      </c>
      <c r="BH173" s="348">
        <f t="shared" si="208"/>
        <v>320</v>
      </c>
      <c r="BI173" s="447">
        <v>0</v>
      </c>
      <c r="BJ173" s="463">
        <v>1</v>
      </c>
      <c r="BK173" s="352">
        <f t="shared" si="221"/>
        <v>1234</v>
      </c>
      <c r="BL173" s="353">
        <f t="shared" si="222"/>
        <v>45.7</v>
      </c>
      <c r="BM173" s="431">
        <v>4</v>
      </c>
      <c r="BN173" s="431" t="s">
        <v>290</v>
      </c>
      <c r="BO173" s="351">
        <f t="shared" si="209"/>
        <v>0.32414910858995138</v>
      </c>
      <c r="BP173" s="348">
        <f t="shared" si="210"/>
        <v>400</v>
      </c>
      <c r="BQ173" s="353">
        <f t="shared" si="211"/>
        <v>8.1199999999999992</v>
      </c>
      <c r="BR173" s="463">
        <v>0.32</v>
      </c>
      <c r="BS173" s="348">
        <f t="shared" si="212"/>
        <v>394.88</v>
      </c>
      <c r="BT173" s="431">
        <v>0</v>
      </c>
      <c r="BU173" s="351">
        <f t="shared" si="213"/>
        <v>0</v>
      </c>
      <c r="BV173" s="353">
        <f t="shared" si="214"/>
        <v>12.12</v>
      </c>
      <c r="BW173" s="451">
        <v>0</v>
      </c>
      <c r="BX173" s="473" t="s">
        <v>858</v>
      </c>
      <c r="BY173" s="475">
        <v>41781</v>
      </c>
      <c r="BZ173" s="663" t="s">
        <v>821</v>
      </c>
      <c r="CA173" s="666">
        <v>0</v>
      </c>
      <c r="CB173" s="354" t="str">
        <f t="shared" si="215"/>
        <v>To be realised</v>
      </c>
      <c r="CC173" s="431">
        <v>238</v>
      </c>
      <c r="CD173" s="431">
        <v>2</v>
      </c>
      <c r="CE173" s="355">
        <f t="shared" si="216"/>
        <v>227</v>
      </c>
      <c r="CF173" s="356">
        <f t="shared" si="217"/>
        <v>0</v>
      </c>
      <c r="CG173" s="348">
        <f t="shared" si="218"/>
        <v>0</v>
      </c>
      <c r="CH173" s="641">
        <f t="shared" si="219"/>
        <v>19</v>
      </c>
      <c r="CI173" s="441"/>
      <c r="CJ173" s="451">
        <v>1</v>
      </c>
      <c r="CK173" s="372">
        <f t="shared" si="223"/>
        <v>1234</v>
      </c>
      <c r="CL173" s="441">
        <v>2</v>
      </c>
      <c r="CM173" s="357" t="str">
        <f t="shared" si="220"/>
        <v>Good coverage</v>
      </c>
      <c r="CN173" s="447">
        <v>0</v>
      </c>
      <c r="CO173" s="753" t="s">
        <v>65</v>
      </c>
      <c r="CP173" s="482"/>
    </row>
    <row r="174" spans="2:94" ht="30.75" customHeight="1" thickBot="1" x14ac:dyDescent="0.3">
      <c r="B174" s="438" t="s">
        <v>154</v>
      </c>
      <c r="C174" s="721" t="s">
        <v>583</v>
      </c>
      <c r="D174" s="430" t="s">
        <v>257</v>
      </c>
      <c r="E174" s="721" t="s">
        <v>161</v>
      </c>
      <c r="F174" s="430">
        <v>97.437434999999994</v>
      </c>
      <c r="G174" s="430">
        <v>25.411413</v>
      </c>
      <c r="H174" s="430" t="s">
        <v>442</v>
      </c>
      <c r="I174" s="430" t="s">
        <v>213</v>
      </c>
      <c r="J174" s="430" t="s">
        <v>813</v>
      </c>
      <c r="K174" s="430" t="s">
        <v>800</v>
      </c>
      <c r="L174" s="722">
        <v>429</v>
      </c>
      <c r="M174" s="722">
        <v>2237</v>
      </c>
      <c r="N174" s="639">
        <v>2071</v>
      </c>
      <c r="O174" s="789">
        <v>2071</v>
      </c>
      <c r="P174" s="796" t="str">
        <f t="shared" si="187"/>
        <v>3. Large</v>
      </c>
      <c r="Q174" s="797" t="s">
        <v>330</v>
      </c>
      <c r="R174" s="434" t="s">
        <v>234</v>
      </c>
      <c r="S174" s="793" t="s">
        <v>299</v>
      </c>
      <c r="T174" s="365" t="str">
        <f t="shared" si="188"/>
        <v>Not covered</v>
      </c>
      <c r="U174" s="782" t="s">
        <v>619</v>
      </c>
      <c r="V174" s="783" t="s">
        <v>254</v>
      </c>
      <c r="W174" s="364" t="str">
        <f t="shared" si="189"/>
        <v>Not documented</v>
      </c>
      <c r="X174" s="443">
        <v>0</v>
      </c>
      <c r="Y174" s="433">
        <v>0</v>
      </c>
      <c r="Z174" s="433" t="s">
        <v>18</v>
      </c>
      <c r="AA174" s="444" t="s">
        <v>19</v>
      </c>
      <c r="AB174" s="443">
        <v>8</v>
      </c>
      <c r="AC174" s="433">
        <v>0</v>
      </c>
      <c r="AD174" s="832">
        <v>16800</v>
      </c>
      <c r="AE174" s="452">
        <v>0</v>
      </c>
      <c r="AF174" s="461">
        <v>1</v>
      </c>
      <c r="AG174" s="453" t="s">
        <v>830</v>
      </c>
      <c r="AH174" s="368">
        <f t="shared" si="190"/>
        <v>1</v>
      </c>
      <c r="AI174" s="346">
        <f t="shared" si="191"/>
        <v>2071</v>
      </c>
      <c r="AJ174" s="347">
        <f t="shared" si="192"/>
        <v>1</v>
      </c>
      <c r="AK174" s="348">
        <f t="shared" si="193"/>
        <v>2071</v>
      </c>
      <c r="AL174" s="345">
        <f t="shared" si="194"/>
        <v>1</v>
      </c>
      <c r="AM174" s="348">
        <f t="shared" si="195"/>
        <v>2071</v>
      </c>
      <c r="AN174" s="349" t="str">
        <f t="shared" si="196"/>
        <v>80-100%</v>
      </c>
      <c r="AO174" s="345">
        <f t="shared" si="197"/>
        <v>0</v>
      </c>
      <c r="AP174" s="350">
        <f t="shared" si="198"/>
        <v>0</v>
      </c>
      <c r="AQ174" s="348">
        <f t="shared" si="199"/>
        <v>0</v>
      </c>
      <c r="AR174" s="348">
        <f t="shared" si="200"/>
        <v>429</v>
      </c>
      <c r="AS174" s="348">
        <f t="shared" si="201"/>
        <v>0</v>
      </c>
      <c r="AT174" s="461">
        <v>1</v>
      </c>
      <c r="AU174" s="808">
        <f t="shared" si="202"/>
        <v>2071</v>
      </c>
      <c r="AV174" s="448"/>
      <c r="AW174" s="815">
        <v>0</v>
      </c>
      <c r="AX174" s="443">
        <v>0</v>
      </c>
      <c r="AY174" s="433"/>
      <c r="AZ174" s="433">
        <v>132</v>
      </c>
      <c r="BA174" s="433" t="s">
        <v>889</v>
      </c>
      <c r="BB174" s="444" t="s">
        <v>89</v>
      </c>
      <c r="BC174" s="810">
        <f t="shared" si="203"/>
        <v>1</v>
      </c>
      <c r="BD174" s="348">
        <f t="shared" si="204"/>
        <v>2071</v>
      </c>
      <c r="BE174" s="351">
        <f t="shared" si="205"/>
        <v>0</v>
      </c>
      <c r="BF174" s="348">
        <f t="shared" si="206"/>
        <v>0</v>
      </c>
      <c r="BG174" s="351">
        <f t="shared" si="207"/>
        <v>1</v>
      </c>
      <c r="BH174" s="348">
        <f t="shared" si="208"/>
        <v>2071</v>
      </c>
      <c r="BI174" s="466">
        <v>4</v>
      </c>
      <c r="BJ174" s="461">
        <v>1</v>
      </c>
      <c r="BK174" s="352">
        <f t="shared" si="221"/>
        <v>2071</v>
      </c>
      <c r="BL174" s="353">
        <f t="shared" si="222"/>
        <v>0</v>
      </c>
      <c r="BM174" s="433">
        <v>6</v>
      </c>
      <c r="BN174" s="433" t="s">
        <v>290</v>
      </c>
      <c r="BO174" s="351">
        <f t="shared" si="209"/>
        <v>0.28971511347175277</v>
      </c>
      <c r="BP174" s="348">
        <f t="shared" si="210"/>
        <v>600</v>
      </c>
      <c r="BQ174" s="353">
        <f t="shared" si="211"/>
        <v>16.37</v>
      </c>
      <c r="BR174" s="467">
        <v>0.28999999999999998</v>
      </c>
      <c r="BS174" s="348">
        <f t="shared" si="212"/>
        <v>600.58999999999992</v>
      </c>
      <c r="BT174" s="433">
        <v>0</v>
      </c>
      <c r="BU174" s="351">
        <f t="shared" si="213"/>
        <v>0</v>
      </c>
      <c r="BV174" s="353">
        <f t="shared" si="214"/>
        <v>22.37</v>
      </c>
      <c r="BW174" s="453">
        <v>0</v>
      </c>
      <c r="BX174" s="474" t="s">
        <v>859</v>
      </c>
      <c r="BY174" s="476">
        <v>42053</v>
      </c>
      <c r="BZ174" s="662" t="s">
        <v>819</v>
      </c>
      <c r="CA174" s="665"/>
      <c r="CB174" s="354" t="str">
        <f t="shared" si="215"/>
        <v>To be realised</v>
      </c>
      <c r="CC174" s="466">
        <v>415</v>
      </c>
      <c r="CD174" s="466">
        <v>4</v>
      </c>
      <c r="CE174" s="355">
        <f t="shared" si="216"/>
        <v>429</v>
      </c>
      <c r="CF174" s="356">
        <f t="shared" si="217"/>
        <v>0</v>
      </c>
      <c r="CG174" s="348">
        <f t="shared" si="218"/>
        <v>0</v>
      </c>
      <c r="CH174" s="641">
        <f t="shared" si="219"/>
        <v>8</v>
      </c>
      <c r="CI174" s="477"/>
      <c r="CJ174" s="453">
        <v>0</v>
      </c>
      <c r="CK174" s="372">
        <f t="shared" si="223"/>
        <v>0</v>
      </c>
      <c r="CL174" s="478">
        <v>5</v>
      </c>
      <c r="CM174" s="357" t="str">
        <f t="shared" si="220"/>
        <v>Excellent coverage</v>
      </c>
      <c r="CN174" s="447">
        <v>0</v>
      </c>
      <c r="CO174" s="752" t="s">
        <v>292</v>
      </c>
      <c r="CP174" s="484"/>
    </row>
    <row r="175" spans="2:94" s="36" customFormat="1" ht="30.75" customHeight="1" thickBot="1" x14ac:dyDescent="0.25">
      <c r="B175" s="438" t="s">
        <v>154</v>
      </c>
      <c r="C175" s="430" t="s">
        <v>584</v>
      </c>
      <c r="D175" s="430" t="s">
        <v>257</v>
      </c>
      <c r="E175" s="430" t="s">
        <v>162</v>
      </c>
      <c r="F175" s="430">
        <v>97.426297000000005</v>
      </c>
      <c r="G175" s="430">
        <v>25.409566000000002</v>
      </c>
      <c r="H175" s="430" t="s">
        <v>442</v>
      </c>
      <c r="I175" s="430" t="s">
        <v>213</v>
      </c>
      <c r="J175" s="430" t="s">
        <v>813</v>
      </c>
      <c r="K175" s="430" t="s">
        <v>800</v>
      </c>
      <c r="L175" s="721">
        <v>45</v>
      </c>
      <c r="M175" s="721">
        <v>193</v>
      </c>
      <c r="N175" s="431">
        <v>173</v>
      </c>
      <c r="O175" s="660">
        <v>173</v>
      </c>
      <c r="P175" s="796" t="str">
        <f t="shared" si="187"/>
        <v>1. Small</v>
      </c>
      <c r="Q175" s="797" t="s">
        <v>330</v>
      </c>
      <c r="R175" s="432" t="s">
        <v>234</v>
      </c>
      <c r="S175" s="793" t="s">
        <v>299</v>
      </c>
      <c r="T175" s="365" t="str">
        <f t="shared" si="188"/>
        <v>Not covered</v>
      </c>
      <c r="U175" s="437" t="s">
        <v>619</v>
      </c>
      <c r="V175" s="783" t="s">
        <v>254</v>
      </c>
      <c r="W175" s="364" t="str">
        <f t="shared" si="189"/>
        <v>Not documented</v>
      </c>
      <c r="X175" s="441">
        <v>0</v>
      </c>
      <c r="Y175" s="431">
        <v>0</v>
      </c>
      <c r="Z175" s="431" t="s">
        <v>19</v>
      </c>
      <c r="AA175" s="442" t="s">
        <v>19</v>
      </c>
      <c r="AB175" s="441">
        <v>2</v>
      </c>
      <c r="AC175" s="447">
        <v>0</v>
      </c>
      <c r="AD175" s="831">
        <v>3000</v>
      </c>
      <c r="AE175" s="666">
        <v>0</v>
      </c>
      <c r="AF175" s="463">
        <v>1</v>
      </c>
      <c r="AG175" s="455" t="s">
        <v>830</v>
      </c>
      <c r="AH175" s="368">
        <f t="shared" si="190"/>
        <v>1</v>
      </c>
      <c r="AI175" s="346">
        <f t="shared" si="191"/>
        <v>173</v>
      </c>
      <c r="AJ175" s="347">
        <f t="shared" si="192"/>
        <v>1</v>
      </c>
      <c r="AK175" s="348">
        <f t="shared" si="193"/>
        <v>173</v>
      </c>
      <c r="AL175" s="345">
        <f t="shared" si="194"/>
        <v>1</v>
      </c>
      <c r="AM175" s="348">
        <f t="shared" si="195"/>
        <v>173</v>
      </c>
      <c r="AN175" s="349" t="str">
        <f t="shared" si="196"/>
        <v>80-100%</v>
      </c>
      <c r="AO175" s="345">
        <f t="shared" si="197"/>
        <v>0</v>
      </c>
      <c r="AP175" s="350">
        <f t="shared" si="198"/>
        <v>0</v>
      </c>
      <c r="AQ175" s="348">
        <f t="shared" si="199"/>
        <v>0</v>
      </c>
      <c r="AR175" s="348">
        <f t="shared" si="200"/>
        <v>45</v>
      </c>
      <c r="AS175" s="348">
        <f t="shared" si="201"/>
        <v>0</v>
      </c>
      <c r="AT175" s="458">
        <v>1</v>
      </c>
      <c r="AU175" s="808">
        <f t="shared" si="202"/>
        <v>173</v>
      </c>
      <c r="AV175" s="448"/>
      <c r="AW175" s="814">
        <v>4</v>
      </c>
      <c r="AX175" s="449">
        <v>0</v>
      </c>
      <c r="AY175" s="431"/>
      <c r="AZ175" s="431">
        <v>14</v>
      </c>
      <c r="BA175" s="431"/>
      <c r="BB175" s="442" t="s">
        <v>89</v>
      </c>
      <c r="BC175" s="810">
        <f t="shared" si="203"/>
        <v>1</v>
      </c>
      <c r="BD175" s="348">
        <f t="shared" si="204"/>
        <v>173</v>
      </c>
      <c r="BE175" s="351">
        <f t="shared" si="205"/>
        <v>0</v>
      </c>
      <c r="BF175" s="348">
        <f t="shared" si="206"/>
        <v>0</v>
      </c>
      <c r="BG175" s="351">
        <f t="shared" si="207"/>
        <v>1</v>
      </c>
      <c r="BH175" s="348">
        <f t="shared" si="208"/>
        <v>173</v>
      </c>
      <c r="BI175" s="447">
        <v>0</v>
      </c>
      <c r="BJ175" s="463">
        <v>1</v>
      </c>
      <c r="BK175" s="352">
        <f t="shared" si="221"/>
        <v>173</v>
      </c>
      <c r="BL175" s="353">
        <f t="shared" si="222"/>
        <v>0</v>
      </c>
      <c r="BM175" s="431">
        <v>2</v>
      </c>
      <c r="BN175" s="431" t="s">
        <v>291</v>
      </c>
      <c r="BO175" s="351">
        <f t="shared" si="209"/>
        <v>1</v>
      </c>
      <c r="BP175" s="348">
        <f t="shared" si="210"/>
        <v>173</v>
      </c>
      <c r="BQ175" s="353">
        <f t="shared" si="211"/>
        <v>0</v>
      </c>
      <c r="BR175" s="463">
        <v>1</v>
      </c>
      <c r="BS175" s="348">
        <f t="shared" si="212"/>
        <v>173</v>
      </c>
      <c r="BT175" s="431">
        <v>0</v>
      </c>
      <c r="BU175" s="351">
        <f t="shared" si="213"/>
        <v>0</v>
      </c>
      <c r="BV175" s="353">
        <f t="shared" si="214"/>
        <v>1.93</v>
      </c>
      <c r="BW175" s="451">
        <v>0</v>
      </c>
      <c r="BX175" s="473" t="s">
        <v>857</v>
      </c>
      <c r="BY175" s="475">
        <v>42173</v>
      </c>
      <c r="BZ175" s="663" t="s">
        <v>821</v>
      </c>
      <c r="CA175" s="666"/>
      <c r="CB175" s="354">
        <f t="shared" si="215"/>
        <v>42538</v>
      </c>
      <c r="CC175" s="431">
        <v>44</v>
      </c>
      <c r="CD175" s="431">
        <v>0</v>
      </c>
      <c r="CE175" s="355">
        <f t="shared" si="216"/>
        <v>1</v>
      </c>
      <c r="CF175" s="356">
        <f t="shared" si="217"/>
        <v>0.97777777777777775</v>
      </c>
      <c r="CG175" s="348">
        <f t="shared" si="218"/>
        <v>169.15555555555554</v>
      </c>
      <c r="CH175" s="641">
        <f t="shared" si="219"/>
        <v>8</v>
      </c>
      <c r="CI175" s="441"/>
      <c r="CJ175" s="453">
        <v>0</v>
      </c>
      <c r="CK175" s="372">
        <f t="shared" si="223"/>
        <v>0</v>
      </c>
      <c r="CL175" s="449">
        <v>0</v>
      </c>
      <c r="CM175" s="357" t="str">
        <f t="shared" si="220"/>
        <v>No coverage</v>
      </c>
      <c r="CN175" s="431">
        <v>0</v>
      </c>
      <c r="CO175" s="753" t="s">
        <v>292</v>
      </c>
      <c r="CP175" s="482"/>
    </row>
    <row r="176" spans="2:94" s="36" customFormat="1" ht="30.75" customHeight="1" thickBot="1" x14ac:dyDescent="0.25">
      <c r="B176" s="438" t="s">
        <v>154</v>
      </c>
      <c r="C176" s="430" t="s">
        <v>585</v>
      </c>
      <c r="D176" s="430" t="s">
        <v>257</v>
      </c>
      <c r="E176" s="430" t="s">
        <v>163</v>
      </c>
      <c r="F176" s="430">
        <v>97.345039</v>
      </c>
      <c r="G176" s="430">
        <v>25.351965</v>
      </c>
      <c r="H176" s="430" t="s">
        <v>442</v>
      </c>
      <c r="I176" s="430" t="s">
        <v>213</v>
      </c>
      <c r="J176" s="430" t="s">
        <v>814</v>
      </c>
      <c r="K176" s="430" t="s">
        <v>800</v>
      </c>
      <c r="L176" s="721">
        <v>18</v>
      </c>
      <c r="M176" s="721">
        <v>77</v>
      </c>
      <c r="N176" s="431">
        <v>49</v>
      </c>
      <c r="O176" s="660">
        <v>80</v>
      </c>
      <c r="P176" s="796" t="str">
        <f t="shared" si="187"/>
        <v>1. Small</v>
      </c>
      <c r="Q176" s="797" t="s">
        <v>938</v>
      </c>
      <c r="R176" s="432" t="s">
        <v>275</v>
      </c>
      <c r="S176" s="793" t="s">
        <v>299</v>
      </c>
      <c r="T176" s="365" t="str">
        <f t="shared" si="188"/>
        <v>Not covered</v>
      </c>
      <c r="U176" s="437" t="s">
        <v>619</v>
      </c>
      <c r="V176" s="783" t="s">
        <v>254</v>
      </c>
      <c r="W176" s="364" t="str">
        <f t="shared" si="189"/>
        <v>Not documented</v>
      </c>
      <c r="X176" s="441">
        <v>0</v>
      </c>
      <c r="Y176" s="431">
        <v>0</v>
      </c>
      <c r="Z176" s="431" t="s">
        <v>18</v>
      </c>
      <c r="AA176" s="442" t="s">
        <v>19</v>
      </c>
      <c r="AB176" s="441">
        <v>1</v>
      </c>
      <c r="AC176" s="447">
        <v>1</v>
      </c>
      <c r="AD176" s="831">
        <v>0</v>
      </c>
      <c r="AE176" s="666">
        <v>0</v>
      </c>
      <c r="AF176" s="463">
        <v>0</v>
      </c>
      <c r="AG176" s="455"/>
      <c r="AH176" s="368">
        <f t="shared" si="190"/>
        <v>1</v>
      </c>
      <c r="AI176" s="346">
        <f t="shared" si="191"/>
        <v>80</v>
      </c>
      <c r="AJ176" s="347">
        <f t="shared" si="192"/>
        <v>1</v>
      </c>
      <c r="AK176" s="348">
        <f t="shared" si="193"/>
        <v>80</v>
      </c>
      <c r="AL176" s="345">
        <f t="shared" si="194"/>
        <v>1</v>
      </c>
      <c r="AM176" s="348">
        <f t="shared" si="195"/>
        <v>80</v>
      </c>
      <c r="AN176" s="349" t="str">
        <f t="shared" si="196"/>
        <v>80-100%</v>
      </c>
      <c r="AO176" s="345">
        <f t="shared" si="197"/>
        <v>0</v>
      </c>
      <c r="AP176" s="350">
        <f t="shared" si="198"/>
        <v>0</v>
      </c>
      <c r="AQ176" s="348">
        <f t="shared" si="199"/>
        <v>0</v>
      </c>
      <c r="AR176" s="348">
        <f t="shared" si="200"/>
        <v>0</v>
      </c>
      <c r="AS176" s="348">
        <f t="shared" si="201"/>
        <v>0</v>
      </c>
      <c r="AT176" s="458">
        <v>1</v>
      </c>
      <c r="AU176" s="808">
        <f t="shared" si="202"/>
        <v>80</v>
      </c>
      <c r="AV176" s="448"/>
      <c r="AW176" s="814">
        <v>24</v>
      </c>
      <c r="AX176" s="449">
        <v>2</v>
      </c>
      <c r="AY176" s="431"/>
      <c r="AZ176" s="431">
        <v>3</v>
      </c>
      <c r="BA176" s="431" t="s">
        <v>888</v>
      </c>
      <c r="BB176" s="442" t="s">
        <v>289</v>
      </c>
      <c r="BC176" s="810">
        <f t="shared" si="203"/>
        <v>1</v>
      </c>
      <c r="BD176" s="348">
        <f t="shared" si="204"/>
        <v>80</v>
      </c>
      <c r="BE176" s="351">
        <f t="shared" si="205"/>
        <v>0.25</v>
      </c>
      <c r="BF176" s="348">
        <f t="shared" si="206"/>
        <v>20</v>
      </c>
      <c r="BG176" s="351">
        <f t="shared" si="207"/>
        <v>0.75</v>
      </c>
      <c r="BH176" s="348">
        <f t="shared" si="208"/>
        <v>60</v>
      </c>
      <c r="BI176" s="431">
        <v>0</v>
      </c>
      <c r="BJ176" s="463">
        <v>1</v>
      </c>
      <c r="BK176" s="352">
        <f t="shared" si="221"/>
        <v>80</v>
      </c>
      <c r="BL176" s="353">
        <f t="shared" si="222"/>
        <v>1</v>
      </c>
      <c r="BM176" s="431">
        <v>2</v>
      </c>
      <c r="BN176" s="431" t="s">
        <v>89</v>
      </c>
      <c r="BO176" s="351">
        <f t="shared" si="209"/>
        <v>1</v>
      </c>
      <c r="BP176" s="348">
        <f t="shared" si="210"/>
        <v>80</v>
      </c>
      <c r="BQ176" s="353">
        <f t="shared" si="211"/>
        <v>0</v>
      </c>
      <c r="BR176" s="463">
        <v>1</v>
      </c>
      <c r="BS176" s="348">
        <f t="shared" si="212"/>
        <v>80</v>
      </c>
      <c r="BT176" s="431">
        <v>1</v>
      </c>
      <c r="BU176" s="351">
        <f t="shared" si="213"/>
        <v>1</v>
      </c>
      <c r="BV176" s="353">
        <f t="shared" si="214"/>
        <v>0</v>
      </c>
      <c r="BW176" s="451">
        <v>1</v>
      </c>
      <c r="BX176" s="473"/>
      <c r="BY176" s="475">
        <v>42048</v>
      </c>
      <c r="BZ176" s="663" t="s">
        <v>821</v>
      </c>
      <c r="CA176" s="666"/>
      <c r="CB176" s="354" t="str">
        <f t="shared" si="215"/>
        <v>To be realised</v>
      </c>
      <c r="CC176" s="447">
        <v>18</v>
      </c>
      <c r="CD176" s="447">
        <v>7</v>
      </c>
      <c r="CE176" s="355">
        <f t="shared" si="216"/>
        <v>18</v>
      </c>
      <c r="CF176" s="356">
        <f t="shared" si="217"/>
        <v>0</v>
      </c>
      <c r="CG176" s="348">
        <f t="shared" si="218"/>
        <v>0</v>
      </c>
      <c r="CH176" s="641">
        <f t="shared" si="219"/>
        <v>5</v>
      </c>
      <c r="CI176" s="441"/>
      <c r="CJ176" s="453">
        <v>0</v>
      </c>
      <c r="CK176" s="640">
        <f t="shared" si="223"/>
        <v>0</v>
      </c>
      <c r="CL176" s="441">
        <v>1</v>
      </c>
      <c r="CM176" s="357" t="str">
        <f t="shared" si="220"/>
        <v>Excellent coverage</v>
      </c>
      <c r="CN176" s="447">
        <v>0</v>
      </c>
      <c r="CO176" s="753" t="s">
        <v>65</v>
      </c>
      <c r="CP176" s="482"/>
    </row>
    <row r="177" spans="2:94" ht="30.75" customHeight="1" thickBot="1" x14ac:dyDescent="0.3">
      <c r="B177" s="800" t="s">
        <v>154</v>
      </c>
      <c r="C177" s="826" t="s">
        <v>586</v>
      </c>
      <c r="D177" s="826" t="s">
        <v>260</v>
      </c>
      <c r="E177" s="826" t="s">
        <v>199</v>
      </c>
      <c r="F177" s="788">
        <v>97.751389000000003</v>
      </c>
      <c r="G177" s="788">
        <v>24.831944</v>
      </c>
      <c r="H177" s="788" t="s">
        <v>442</v>
      </c>
      <c r="I177" s="788" t="s">
        <v>221</v>
      </c>
      <c r="J177" s="788" t="s">
        <v>814</v>
      </c>
      <c r="K177" s="788" t="s">
        <v>800</v>
      </c>
      <c r="L177" s="788">
        <v>184</v>
      </c>
      <c r="M177" s="788">
        <v>768</v>
      </c>
      <c r="N177" s="787">
        <v>764</v>
      </c>
      <c r="O177" s="790">
        <v>764</v>
      </c>
      <c r="P177" s="796" t="str">
        <f t="shared" si="187"/>
        <v>2. Medium</v>
      </c>
      <c r="Q177" s="799" t="s">
        <v>330</v>
      </c>
      <c r="R177" s="798" t="s">
        <v>234</v>
      </c>
      <c r="S177" s="793" t="s">
        <v>299</v>
      </c>
      <c r="T177" s="365" t="str">
        <f t="shared" si="188"/>
        <v>Not covered</v>
      </c>
      <c r="U177" s="801" t="s">
        <v>619</v>
      </c>
      <c r="V177" s="783" t="s">
        <v>254</v>
      </c>
      <c r="W177" s="364" t="str">
        <f t="shared" si="189"/>
        <v>Not documented</v>
      </c>
      <c r="X177" s="803">
        <v>0</v>
      </c>
      <c r="Y177" s="799">
        <v>0</v>
      </c>
      <c r="Z177" s="799" t="s">
        <v>18</v>
      </c>
      <c r="AA177" s="807" t="s">
        <v>19</v>
      </c>
      <c r="AB177" s="803">
        <v>0</v>
      </c>
      <c r="AC177" s="799">
        <v>0</v>
      </c>
      <c r="AD177" s="834">
        <v>12000</v>
      </c>
      <c r="AE177" s="806">
        <v>0</v>
      </c>
      <c r="AF177" s="804">
        <v>0</v>
      </c>
      <c r="AG177" s="805"/>
      <c r="AH177" s="368">
        <f t="shared" si="190"/>
        <v>1</v>
      </c>
      <c r="AI177" s="346">
        <f t="shared" si="191"/>
        <v>764</v>
      </c>
      <c r="AJ177" s="347">
        <f t="shared" si="192"/>
        <v>1</v>
      </c>
      <c r="AK177" s="348">
        <f t="shared" si="193"/>
        <v>764</v>
      </c>
      <c r="AL177" s="345">
        <f t="shared" si="194"/>
        <v>1</v>
      </c>
      <c r="AM177" s="348">
        <f t="shared" si="195"/>
        <v>764</v>
      </c>
      <c r="AN177" s="349" t="str">
        <f t="shared" si="196"/>
        <v>80-100%</v>
      </c>
      <c r="AO177" s="345">
        <f t="shared" si="197"/>
        <v>0</v>
      </c>
      <c r="AP177" s="350">
        <f t="shared" si="198"/>
        <v>0</v>
      </c>
      <c r="AQ177" s="348">
        <f t="shared" si="199"/>
        <v>1.91</v>
      </c>
      <c r="AR177" s="348">
        <f t="shared" si="200"/>
        <v>0</v>
      </c>
      <c r="AS177" s="348">
        <f t="shared" si="201"/>
        <v>0</v>
      </c>
      <c r="AT177" s="458">
        <v>1</v>
      </c>
      <c r="AU177" s="808">
        <f t="shared" si="202"/>
        <v>764</v>
      </c>
      <c r="AV177" s="807"/>
      <c r="AW177" s="652">
        <v>0</v>
      </c>
      <c r="AX177" s="786">
        <v>160</v>
      </c>
      <c r="AY177" s="787">
        <v>160</v>
      </c>
      <c r="AZ177" s="787">
        <v>0</v>
      </c>
      <c r="BA177" s="787"/>
      <c r="BB177" s="807" t="s">
        <v>289</v>
      </c>
      <c r="BC177" s="810">
        <f t="shared" si="203"/>
        <v>1</v>
      </c>
      <c r="BD177" s="348">
        <f t="shared" si="204"/>
        <v>764</v>
      </c>
      <c r="BE177" s="351">
        <f t="shared" si="205"/>
        <v>1</v>
      </c>
      <c r="BF177" s="348">
        <f t="shared" si="206"/>
        <v>764</v>
      </c>
      <c r="BG177" s="351">
        <f t="shared" si="207"/>
        <v>0</v>
      </c>
      <c r="BH177" s="348">
        <f t="shared" si="208"/>
        <v>0</v>
      </c>
      <c r="BI177" s="431">
        <v>0</v>
      </c>
      <c r="BJ177" s="463">
        <v>1</v>
      </c>
      <c r="BK177" s="352">
        <f t="shared" si="221"/>
        <v>764</v>
      </c>
      <c r="BL177" s="353">
        <f t="shared" si="222"/>
        <v>38.200000000000003</v>
      </c>
      <c r="BM177" s="431">
        <v>6</v>
      </c>
      <c r="BN177" s="431" t="s">
        <v>290</v>
      </c>
      <c r="BO177" s="351">
        <f t="shared" si="209"/>
        <v>0.78534031413612571</v>
      </c>
      <c r="BP177" s="348">
        <f t="shared" si="210"/>
        <v>600</v>
      </c>
      <c r="BQ177" s="353">
        <f t="shared" si="211"/>
        <v>1.6799999999999997</v>
      </c>
      <c r="BR177" s="463">
        <v>0.79</v>
      </c>
      <c r="BS177" s="348">
        <f t="shared" si="212"/>
        <v>603.56000000000006</v>
      </c>
      <c r="BT177" s="431">
        <v>0</v>
      </c>
      <c r="BU177" s="351">
        <f t="shared" si="213"/>
        <v>0</v>
      </c>
      <c r="BV177" s="353">
        <f t="shared" si="214"/>
        <v>7.68</v>
      </c>
      <c r="BW177" s="451">
        <v>0</v>
      </c>
      <c r="BX177" s="473" t="s">
        <v>785</v>
      </c>
      <c r="BY177" s="475">
        <v>42053</v>
      </c>
      <c r="BZ177" s="663" t="s">
        <v>819</v>
      </c>
      <c r="CA177" s="666"/>
      <c r="CB177" s="354" t="str">
        <f t="shared" si="215"/>
        <v>To be realised</v>
      </c>
      <c r="CC177" s="447">
        <v>191</v>
      </c>
      <c r="CD177" s="447">
        <v>4</v>
      </c>
      <c r="CE177" s="355">
        <f t="shared" si="216"/>
        <v>184</v>
      </c>
      <c r="CF177" s="356">
        <f t="shared" si="217"/>
        <v>0</v>
      </c>
      <c r="CG177" s="348">
        <f t="shared" si="218"/>
        <v>0</v>
      </c>
      <c r="CH177" s="641">
        <f t="shared" si="219"/>
        <v>8</v>
      </c>
      <c r="CI177" s="441"/>
      <c r="CJ177" s="453">
        <v>0</v>
      </c>
      <c r="CK177" s="640">
        <f t="shared" si="223"/>
        <v>0</v>
      </c>
      <c r="CL177" s="441">
        <v>2</v>
      </c>
      <c r="CM177" s="357" t="str">
        <f t="shared" si="220"/>
        <v>Excellent coverage</v>
      </c>
      <c r="CN177" s="447">
        <v>0</v>
      </c>
      <c r="CO177" s="753" t="s">
        <v>292</v>
      </c>
      <c r="CP177" s="482"/>
    </row>
    <row r="178" spans="2:94" ht="30.75" customHeight="1" thickBot="1" x14ac:dyDescent="0.3">
      <c r="B178" s="800" t="s">
        <v>154</v>
      </c>
      <c r="C178" s="826" t="s">
        <v>587</v>
      </c>
      <c r="D178" s="826" t="s">
        <v>260</v>
      </c>
      <c r="E178" s="826" t="s">
        <v>164</v>
      </c>
      <c r="F178" s="788">
        <v>97.990555999999998</v>
      </c>
      <c r="G178" s="788">
        <v>25.265277999999999</v>
      </c>
      <c r="H178" s="788" t="s">
        <v>442</v>
      </c>
      <c r="I178" s="788" t="s">
        <v>221</v>
      </c>
      <c r="J178" s="788" t="s">
        <v>814</v>
      </c>
      <c r="K178" s="788" t="s">
        <v>800</v>
      </c>
      <c r="L178" s="788">
        <v>110</v>
      </c>
      <c r="M178" s="788">
        <v>643</v>
      </c>
      <c r="N178" s="787">
        <v>640</v>
      </c>
      <c r="O178" s="790">
        <v>640</v>
      </c>
      <c r="P178" s="796" t="str">
        <f t="shared" si="187"/>
        <v>2. Medium</v>
      </c>
      <c r="Q178" s="799" t="s">
        <v>828</v>
      </c>
      <c r="R178" s="798" t="s">
        <v>276</v>
      </c>
      <c r="S178" s="800" t="s">
        <v>230</v>
      </c>
      <c r="T178" s="365" t="str">
        <f t="shared" si="188"/>
        <v>Covered</v>
      </c>
      <c r="U178" s="801">
        <v>42735</v>
      </c>
      <c r="V178" s="802" t="s">
        <v>252</v>
      </c>
      <c r="W178" s="364" t="str">
        <f t="shared" si="189"/>
        <v>Documented</v>
      </c>
      <c r="X178" s="803">
        <v>0</v>
      </c>
      <c r="Y178" s="799">
        <v>0</v>
      </c>
      <c r="Z178" s="799" t="s">
        <v>19</v>
      </c>
      <c r="AA178" s="807" t="s">
        <v>19</v>
      </c>
      <c r="AB178" s="803">
        <v>0</v>
      </c>
      <c r="AC178" s="799">
        <v>0</v>
      </c>
      <c r="AD178" s="834">
        <v>13000</v>
      </c>
      <c r="AE178" s="806">
        <v>0</v>
      </c>
      <c r="AF178" s="804">
        <v>1</v>
      </c>
      <c r="AG178" s="805"/>
      <c r="AH178" s="368">
        <f t="shared" si="190"/>
        <v>1</v>
      </c>
      <c r="AI178" s="346">
        <f t="shared" si="191"/>
        <v>640</v>
      </c>
      <c r="AJ178" s="347">
        <f t="shared" si="192"/>
        <v>1</v>
      </c>
      <c r="AK178" s="348">
        <f t="shared" si="193"/>
        <v>640</v>
      </c>
      <c r="AL178" s="345">
        <f t="shared" si="194"/>
        <v>1</v>
      </c>
      <c r="AM178" s="348">
        <f t="shared" si="195"/>
        <v>640</v>
      </c>
      <c r="AN178" s="349" t="str">
        <f t="shared" si="196"/>
        <v>80-100%</v>
      </c>
      <c r="AO178" s="345">
        <f t="shared" si="197"/>
        <v>0</v>
      </c>
      <c r="AP178" s="350">
        <f t="shared" si="198"/>
        <v>0</v>
      </c>
      <c r="AQ178" s="348">
        <f t="shared" si="199"/>
        <v>1.6</v>
      </c>
      <c r="AR178" s="348">
        <f t="shared" si="200"/>
        <v>110</v>
      </c>
      <c r="AS178" s="348">
        <f t="shared" si="201"/>
        <v>0</v>
      </c>
      <c r="AT178" s="458">
        <v>1</v>
      </c>
      <c r="AU178" s="808">
        <f t="shared" si="202"/>
        <v>640</v>
      </c>
      <c r="AV178" s="807"/>
      <c r="AW178" s="652">
        <v>0</v>
      </c>
      <c r="AX178" s="786">
        <v>109</v>
      </c>
      <c r="AY178" s="787">
        <v>0</v>
      </c>
      <c r="AZ178" s="787">
        <v>14</v>
      </c>
      <c r="BA178" s="787" t="s">
        <v>889</v>
      </c>
      <c r="BB178" s="807" t="s">
        <v>289</v>
      </c>
      <c r="BC178" s="810">
        <f t="shared" si="203"/>
        <v>1</v>
      </c>
      <c r="BD178" s="348">
        <f t="shared" si="204"/>
        <v>640</v>
      </c>
      <c r="BE178" s="351">
        <f t="shared" si="205"/>
        <v>0.5625</v>
      </c>
      <c r="BF178" s="348">
        <f t="shared" si="206"/>
        <v>360</v>
      </c>
      <c r="BG178" s="351">
        <f t="shared" si="207"/>
        <v>0.4375</v>
      </c>
      <c r="BH178" s="348">
        <f t="shared" si="208"/>
        <v>280</v>
      </c>
      <c r="BI178" s="431">
        <v>0</v>
      </c>
      <c r="BJ178" s="463">
        <v>1</v>
      </c>
      <c r="BK178" s="352">
        <f t="shared" si="221"/>
        <v>640</v>
      </c>
      <c r="BL178" s="353">
        <f t="shared" si="222"/>
        <v>18</v>
      </c>
      <c r="BM178" s="431">
        <v>2</v>
      </c>
      <c r="BN178" s="431" t="s">
        <v>290</v>
      </c>
      <c r="BO178" s="351">
        <f t="shared" si="209"/>
        <v>0.3125</v>
      </c>
      <c r="BP178" s="348">
        <f t="shared" si="210"/>
        <v>200</v>
      </c>
      <c r="BQ178" s="353">
        <f t="shared" si="211"/>
        <v>4.43</v>
      </c>
      <c r="BR178" s="463">
        <v>0.31</v>
      </c>
      <c r="BS178" s="348">
        <f t="shared" si="212"/>
        <v>198.4</v>
      </c>
      <c r="BT178" s="431">
        <v>4</v>
      </c>
      <c r="BU178" s="351">
        <f t="shared" si="213"/>
        <v>0.625</v>
      </c>
      <c r="BV178" s="353">
        <f t="shared" si="214"/>
        <v>2.4299999999999997</v>
      </c>
      <c r="BW178" s="451">
        <v>0.63</v>
      </c>
      <c r="BX178" s="473"/>
      <c r="BY178" s="475">
        <v>42341</v>
      </c>
      <c r="BZ178" s="663" t="s">
        <v>821</v>
      </c>
      <c r="CA178" s="666">
        <v>0</v>
      </c>
      <c r="CB178" s="354">
        <f t="shared" si="215"/>
        <v>42706</v>
      </c>
      <c r="CC178" s="447">
        <v>109</v>
      </c>
      <c r="CD178" s="447">
        <v>6</v>
      </c>
      <c r="CE178" s="355">
        <f t="shared" si="216"/>
        <v>1</v>
      </c>
      <c r="CF178" s="356">
        <f t="shared" si="217"/>
        <v>0.99090909090909096</v>
      </c>
      <c r="CG178" s="348">
        <f t="shared" si="218"/>
        <v>634.18181818181824</v>
      </c>
      <c r="CH178" s="641">
        <f t="shared" si="219"/>
        <v>0</v>
      </c>
      <c r="CI178" s="441"/>
      <c r="CJ178" s="451">
        <v>1</v>
      </c>
      <c r="CK178" s="640">
        <f t="shared" si="223"/>
        <v>640</v>
      </c>
      <c r="CL178" s="441">
        <v>2</v>
      </c>
      <c r="CM178" s="357" t="str">
        <f t="shared" si="220"/>
        <v>Excellent coverage</v>
      </c>
      <c r="CN178" s="447">
        <v>0</v>
      </c>
      <c r="CO178" s="753" t="s">
        <v>292</v>
      </c>
      <c r="CP178" s="482"/>
    </row>
    <row r="179" spans="2:94" ht="30.75" customHeight="1" thickBot="1" x14ac:dyDescent="0.3">
      <c r="B179" s="800" t="s">
        <v>154</v>
      </c>
      <c r="C179" s="826" t="s">
        <v>588</v>
      </c>
      <c r="D179" s="826" t="s">
        <v>257</v>
      </c>
      <c r="E179" s="826" t="s">
        <v>165</v>
      </c>
      <c r="F179" s="788">
        <v>97.441483000000005</v>
      </c>
      <c r="G179" s="788">
        <v>25.354883999999998</v>
      </c>
      <c r="H179" s="788" t="s">
        <v>442</v>
      </c>
      <c r="I179" s="788" t="s">
        <v>213</v>
      </c>
      <c r="J179" s="788" t="s">
        <v>812</v>
      </c>
      <c r="K179" s="788" t="s">
        <v>800</v>
      </c>
      <c r="L179" s="788">
        <v>89</v>
      </c>
      <c r="M179" s="788">
        <v>378</v>
      </c>
      <c r="N179" s="787">
        <v>238</v>
      </c>
      <c r="O179" s="790">
        <v>341</v>
      </c>
      <c r="P179" s="796" t="str">
        <f t="shared" si="187"/>
        <v>2. Medium</v>
      </c>
      <c r="Q179" s="799" t="s">
        <v>938</v>
      </c>
      <c r="R179" s="798" t="s">
        <v>275</v>
      </c>
      <c r="S179" s="793" t="s">
        <v>299</v>
      </c>
      <c r="T179" s="365" t="str">
        <f t="shared" si="188"/>
        <v>Not covered</v>
      </c>
      <c r="U179" s="801" t="s">
        <v>619</v>
      </c>
      <c r="V179" s="783" t="s">
        <v>254</v>
      </c>
      <c r="W179" s="364" t="str">
        <f t="shared" si="189"/>
        <v>Not documented</v>
      </c>
      <c r="X179" s="803">
        <v>0</v>
      </c>
      <c r="Y179" s="799">
        <v>0</v>
      </c>
      <c r="Z179" s="799" t="s">
        <v>18</v>
      </c>
      <c r="AA179" s="807" t="s">
        <v>19</v>
      </c>
      <c r="AB179" s="803">
        <v>3</v>
      </c>
      <c r="AC179" s="799">
        <v>1</v>
      </c>
      <c r="AD179" s="834">
        <v>0</v>
      </c>
      <c r="AE179" s="806">
        <v>0</v>
      </c>
      <c r="AF179" s="804">
        <v>0</v>
      </c>
      <c r="AG179" s="805"/>
      <c r="AH179" s="368">
        <f t="shared" si="190"/>
        <v>1</v>
      </c>
      <c r="AI179" s="346">
        <f t="shared" si="191"/>
        <v>341</v>
      </c>
      <c r="AJ179" s="347">
        <f t="shared" si="192"/>
        <v>1</v>
      </c>
      <c r="AK179" s="348">
        <f t="shared" si="193"/>
        <v>341</v>
      </c>
      <c r="AL179" s="345">
        <f t="shared" si="194"/>
        <v>1</v>
      </c>
      <c r="AM179" s="348">
        <f t="shared" si="195"/>
        <v>341</v>
      </c>
      <c r="AN179" s="349" t="str">
        <f t="shared" si="196"/>
        <v>80-100%</v>
      </c>
      <c r="AO179" s="345">
        <f t="shared" si="197"/>
        <v>0</v>
      </c>
      <c r="AP179" s="350">
        <f t="shared" si="198"/>
        <v>0</v>
      </c>
      <c r="AQ179" s="348">
        <f t="shared" si="199"/>
        <v>0</v>
      </c>
      <c r="AR179" s="348">
        <f t="shared" si="200"/>
        <v>0</v>
      </c>
      <c r="AS179" s="348">
        <f t="shared" si="201"/>
        <v>0</v>
      </c>
      <c r="AT179" s="458">
        <v>1</v>
      </c>
      <c r="AU179" s="808">
        <f t="shared" si="202"/>
        <v>341</v>
      </c>
      <c r="AV179" s="807"/>
      <c r="AW179" s="652">
        <v>0</v>
      </c>
      <c r="AX179" s="786">
        <v>0</v>
      </c>
      <c r="AY179" s="787"/>
      <c r="AZ179" s="787">
        <v>14</v>
      </c>
      <c r="BA179" s="787" t="s">
        <v>888</v>
      </c>
      <c r="BB179" s="807" t="s">
        <v>289</v>
      </c>
      <c r="BC179" s="810">
        <f t="shared" si="203"/>
        <v>0.82111436950146632</v>
      </c>
      <c r="BD179" s="348">
        <f t="shared" si="204"/>
        <v>280</v>
      </c>
      <c r="BE179" s="351">
        <f t="shared" si="205"/>
        <v>0</v>
      </c>
      <c r="BF179" s="348">
        <f t="shared" si="206"/>
        <v>0</v>
      </c>
      <c r="BG179" s="351">
        <f t="shared" si="207"/>
        <v>0.82111436950146632</v>
      </c>
      <c r="BH179" s="348">
        <f t="shared" si="208"/>
        <v>280</v>
      </c>
      <c r="BI179" s="431">
        <v>0</v>
      </c>
      <c r="BJ179" s="463">
        <v>1</v>
      </c>
      <c r="BK179" s="352">
        <f t="shared" si="221"/>
        <v>341</v>
      </c>
      <c r="BL179" s="353">
        <f t="shared" si="222"/>
        <v>3.0500000000000007</v>
      </c>
      <c r="BM179" s="431">
        <v>3</v>
      </c>
      <c r="BN179" s="431" t="s">
        <v>290</v>
      </c>
      <c r="BO179" s="351">
        <f t="shared" si="209"/>
        <v>0.87976539589442815</v>
      </c>
      <c r="BP179" s="348">
        <f t="shared" si="210"/>
        <v>300</v>
      </c>
      <c r="BQ179" s="353">
        <f t="shared" si="211"/>
        <v>0.7799999999999998</v>
      </c>
      <c r="BR179" s="463">
        <v>0.88</v>
      </c>
      <c r="BS179" s="348">
        <f t="shared" si="212"/>
        <v>300.08</v>
      </c>
      <c r="BT179" s="431">
        <v>3</v>
      </c>
      <c r="BU179" s="351">
        <f t="shared" si="213"/>
        <v>0.87976539589442815</v>
      </c>
      <c r="BV179" s="353">
        <f t="shared" si="214"/>
        <v>0.7799999999999998</v>
      </c>
      <c r="BW179" s="451">
        <v>1</v>
      </c>
      <c r="BX179" s="473"/>
      <c r="BY179" s="475">
        <v>42048</v>
      </c>
      <c r="BZ179" s="663" t="s">
        <v>821</v>
      </c>
      <c r="CA179" s="666"/>
      <c r="CB179" s="354" t="str">
        <f t="shared" si="215"/>
        <v>To be realised</v>
      </c>
      <c r="CC179" s="447">
        <v>102</v>
      </c>
      <c r="CD179" s="447">
        <v>7</v>
      </c>
      <c r="CE179" s="355">
        <f t="shared" si="216"/>
        <v>89</v>
      </c>
      <c r="CF179" s="356">
        <f t="shared" si="217"/>
        <v>0</v>
      </c>
      <c r="CG179" s="348">
        <f t="shared" si="218"/>
        <v>0</v>
      </c>
      <c r="CH179" s="641">
        <f t="shared" si="219"/>
        <v>5</v>
      </c>
      <c r="CI179" s="441"/>
      <c r="CJ179" s="453">
        <v>0</v>
      </c>
      <c r="CK179" s="640">
        <f t="shared" si="223"/>
        <v>0</v>
      </c>
      <c r="CL179" s="441">
        <v>2</v>
      </c>
      <c r="CM179" s="357" t="str">
        <f t="shared" si="220"/>
        <v>Excellent coverage</v>
      </c>
      <c r="CN179" s="447">
        <v>0</v>
      </c>
      <c r="CO179" s="753" t="s">
        <v>65</v>
      </c>
      <c r="CP179" s="482"/>
    </row>
    <row r="180" spans="2:94" ht="30.75" customHeight="1" thickBot="1" x14ac:dyDescent="0.3">
      <c r="B180" s="800" t="s">
        <v>154</v>
      </c>
      <c r="C180" s="826" t="s">
        <v>589</v>
      </c>
      <c r="D180" s="826" t="s">
        <v>257</v>
      </c>
      <c r="E180" s="826" t="s">
        <v>166</v>
      </c>
      <c r="F180" s="788">
        <v>97.438271</v>
      </c>
      <c r="G180" s="788">
        <v>25.351655000000001</v>
      </c>
      <c r="H180" s="788" t="s">
        <v>442</v>
      </c>
      <c r="I180" s="788" t="s">
        <v>213</v>
      </c>
      <c r="J180" s="788" t="s">
        <v>812</v>
      </c>
      <c r="K180" s="788" t="s">
        <v>800</v>
      </c>
      <c r="L180" s="788">
        <v>65</v>
      </c>
      <c r="M180" s="788">
        <v>315</v>
      </c>
      <c r="N180" s="787">
        <v>308</v>
      </c>
      <c r="O180" s="790">
        <v>308</v>
      </c>
      <c r="P180" s="796" t="str">
        <f t="shared" si="187"/>
        <v>2. Medium</v>
      </c>
      <c r="Q180" s="799" t="s">
        <v>330</v>
      </c>
      <c r="R180" s="798" t="s">
        <v>234</v>
      </c>
      <c r="S180" s="793" t="s">
        <v>299</v>
      </c>
      <c r="T180" s="365" t="str">
        <f t="shared" si="188"/>
        <v>Not covered</v>
      </c>
      <c r="U180" s="801" t="s">
        <v>619</v>
      </c>
      <c r="V180" s="783" t="s">
        <v>254</v>
      </c>
      <c r="W180" s="364" t="str">
        <f t="shared" si="189"/>
        <v>Not documented</v>
      </c>
      <c r="X180" s="803">
        <v>0</v>
      </c>
      <c r="Y180" s="799">
        <v>0</v>
      </c>
      <c r="Z180" s="799" t="s">
        <v>19</v>
      </c>
      <c r="AA180" s="807" t="s">
        <v>19</v>
      </c>
      <c r="AB180" s="803">
        <v>2</v>
      </c>
      <c r="AC180" s="799">
        <v>1</v>
      </c>
      <c r="AD180" s="834">
        <v>0</v>
      </c>
      <c r="AE180" s="806">
        <v>0</v>
      </c>
      <c r="AF180" s="804">
        <v>1</v>
      </c>
      <c r="AG180" s="805" t="s">
        <v>830</v>
      </c>
      <c r="AH180" s="368">
        <f t="shared" si="190"/>
        <v>1</v>
      </c>
      <c r="AI180" s="346">
        <f t="shared" si="191"/>
        <v>308</v>
      </c>
      <c r="AJ180" s="347">
        <f t="shared" si="192"/>
        <v>1</v>
      </c>
      <c r="AK180" s="348">
        <f t="shared" si="193"/>
        <v>308</v>
      </c>
      <c r="AL180" s="345">
        <f t="shared" si="194"/>
        <v>1</v>
      </c>
      <c r="AM180" s="348">
        <f t="shared" si="195"/>
        <v>308</v>
      </c>
      <c r="AN180" s="349" t="str">
        <f t="shared" si="196"/>
        <v>80-100%</v>
      </c>
      <c r="AO180" s="345">
        <f t="shared" si="197"/>
        <v>0</v>
      </c>
      <c r="AP180" s="350">
        <f t="shared" si="198"/>
        <v>0</v>
      </c>
      <c r="AQ180" s="348">
        <f t="shared" si="199"/>
        <v>0</v>
      </c>
      <c r="AR180" s="348">
        <f t="shared" si="200"/>
        <v>65</v>
      </c>
      <c r="AS180" s="348">
        <f t="shared" si="201"/>
        <v>0</v>
      </c>
      <c r="AT180" s="458">
        <v>1</v>
      </c>
      <c r="AU180" s="808">
        <f t="shared" si="202"/>
        <v>308</v>
      </c>
      <c r="AV180" s="807"/>
      <c r="AW180" s="652">
        <v>29</v>
      </c>
      <c r="AX180" s="786">
        <v>0</v>
      </c>
      <c r="AY180" s="787">
        <v>0</v>
      </c>
      <c r="AZ180" s="787">
        <v>12</v>
      </c>
      <c r="BA180" s="787" t="s">
        <v>891</v>
      </c>
      <c r="BB180" s="807" t="s">
        <v>289</v>
      </c>
      <c r="BC180" s="810">
        <f t="shared" si="203"/>
        <v>0.77922077922077926</v>
      </c>
      <c r="BD180" s="348">
        <f t="shared" si="204"/>
        <v>240</v>
      </c>
      <c r="BE180" s="351">
        <f t="shared" si="205"/>
        <v>0</v>
      </c>
      <c r="BF180" s="348">
        <f t="shared" si="206"/>
        <v>0</v>
      </c>
      <c r="BG180" s="351">
        <f t="shared" si="207"/>
        <v>0.77922077922077926</v>
      </c>
      <c r="BH180" s="348">
        <f t="shared" si="208"/>
        <v>240</v>
      </c>
      <c r="BI180" s="431">
        <v>0</v>
      </c>
      <c r="BJ180" s="463">
        <v>0.78</v>
      </c>
      <c r="BK180" s="352">
        <f t="shared" si="221"/>
        <v>240.24</v>
      </c>
      <c r="BL180" s="353">
        <f t="shared" si="222"/>
        <v>3.4000000000000004</v>
      </c>
      <c r="BM180" s="431">
        <v>2</v>
      </c>
      <c r="BN180" s="431" t="s">
        <v>290</v>
      </c>
      <c r="BO180" s="351">
        <f t="shared" si="209"/>
        <v>0.64935064935064934</v>
      </c>
      <c r="BP180" s="348">
        <f t="shared" si="210"/>
        <v>200</v>
      </c>
      <c r="BQ180" s="353">
        <f t="shared" si="211"/>
        <v>1.1499999999999999</v>
      </c>
      <c r="BR180" s="463">
        <v>0.65</v>
      </c>
      <c r="BS180" s="348">
        <f t="shared" si="212"/>
        <v>200.20000000000002</v>
      </c>
      <c r="BT180" s="431">
        <v>0</v>
      </c>
      <c r="BU180" s="351">
        <f t="shared" si="213"/>
        <v>0</v>
      </c>
      <c r="BV180" s="353">
        <f t="shared" si="214"/>
        <v>3.15</v>
      </c>
      <c r="BW180" s="451">
        <v>0</v>
      </c>
      <c r="BX180" s="473" t="s">
        <v>860</v>
      </c>
      <c r="BY180" s="475">
        <v>42173</v>
      </c>
      <c r="BZ180" s="663" t="s">
        <v>821</v>
      </c>
      <c r="CA180" s="666"/>
      <c r="CB180" s="354">
        <f t="shared" si="215"/>
        <v>42538</v>
      </c>
      <c r="CC180" s="447">
        <v>67</v>
      </c>
      <c r="CD180" s="447">
        <v>0</v>
      </c>
      <c r="CE180" s="355">
        <f t="shared" si="216"/>
        <v>0</v>
      </c>
      <c r="CF180" s="356">
        <f t="shared" si="217"/>
        <v>1</v>
      </c>
      <c r="CG180" s="348">
        <f t="shared" si="218"/>
        <v>308</v>
      </c>
      <c r="CH180" s="641">
        <f t="shared" si="219"/>
        <v>8</v>
      </c>
      <c r="CI180" s="441"/>
      <c r="CJ180" s="453">
        <v>0</v>
      </c>
      <c r="CK180" s="640">
        <f t="shared" si="223"/>
        <v>0</v>
      </c>
      <c r="CL180" s="441">
        <v>5</v>
      </c>
      <c r="CM180" s="357" t="str">
        <f t="shared" si="220"/>
        <v>Excellent coverage</v>
      </c>
      <c r="CN180" s="447">
        <v>0</v>
      </c>
      <c r="CO180" s="753" t="s">
        <v>292</v>
      </c>
      <c r="CP180" s="482"/>
    </row>
    <row r="181" spans="2:94" ht="30.75" customHeight="1" thickBot="1" x14ac:dyDescent="0.3">
      <c r="B181" s="800" t="s">
        <v>154</v>
      </c>
      <c r="C181" s="826" t="s">
        <v>590</v>
      </c>
      <c r="D181" s="826" t="s">
        <v>257</v>
      </c>
      <c r="E181" s="826" t="s">
        <v>167</v>
      </c>
      <c r="F181" s="788">
        <v>97.437568999999996</v>
      </c>
      <c r="G181" s="788">
        <v>25.346004000000001</v>
      </c>
      <c r="H181" s="788" t="s">
        <v>442</v>
      </c>
      <c r="I181" s="788" t="s">
        <v>213</v>
      </c>
      <c r="J181" s="788" t="s">
        <v>812</v>
      </c>
      <c r="K181" s="788" t="s">
        <v>800</v>
      </c>
      <c r="L181" s="788">
        <v>31</v>
      </c>
      <c r="M181" s="788">
        <v>153</v>
      </c>
      <c r="N181" s="787">
        <v>130</v>
      </c>
      <c r="O181" s="790">
        <v>172</v>
      </c>
      <c r="P181" s="796" t="str">
        <f t="shared" si="187"/>
        <v>1. Small</v>
      </c>
      <c r="Q181" s="799" t="s">
        <v>938</v>
      </c>
      <c r="R181" s="798" t="s">
        <v>275</v>
      </c>
      <c r="S181" s="793" t="s">
        <v>299</v>
      </c>
      <c r="T181" s="365" t="str">
        <f t="shared" si="188"/>
        <v>Not covered</v>
      </c>
      <c r="U181" s="801" t="s">
        <v>619</v>
      </c>
      <c r="V181" s="783" t="s">
        <v>254</v>
      </c>
      <c r="W181" s="364" t="str">
        <f t="shared" si="189"/>
        <v>Not documented</v>
      </c>
      <c r="X181" s="803">
        <v>0</v>
      </c>
      <c r="Y181" s="799">
        <v>0</v>
      </c>
      <c r="Z181" s="799" t="s">
        <v>18</v>
      </c>
      <c r="AA181" s="807" t="s">
        <v>19</v>
      </c>
      <c r="AB181" s="803">
        <v>2</v>
      </c>
      <c r="AC181" s="799">
        <v>0</v>
      </c>
      <c r="AD181" s="834">
        <v>3000</v>
      </c>
      <c r="AE181" s="806">
        <v>0</v>
      </c>
      <c r="AF181" s="804">
        <v>0</v>
      </c>
      <c r="AG181" s="805"/>
      <c r="AH181" s="368">
        <f t="shared" si="190"/>
        <v>1</v>
      </c>
      <c r="AI181" s="346">
        <f t="shared" si="191"/>
        <v>172</v>
      </c>
      <c r="AJ181" s="347">
        <f t="shared" si="192"/>
        <v>1</v>
      </c>
      <c r="AK181" s="348">
        <f t="shared" si="193"/>
        <v>172</v>
      </c>
      <c r="AL181" s="345">
        <f t="shared" si="194"/>
        <v>1</v>
      </c>
      <c r="AM181" s="348">
        <f t="shared" si="195"/>
        <v>172</v>
      </c>
      <c r="AN181" s="349" t="str">
        <f t="shared" si="196"/>
        <v>80-100%</v>
      </c>
      <c r="AO181" s="345">
        <f t="shared" si="197"/>
        <v>0</v>
      </c>
      <c r="AP181" s="350">
        <f t="shared" si="198"/>
        <v>0</v>
      </c>
      <c r="AQ181" s="348">
        <f t="shared" si="199"/>
        <v>0</v>
      </c>
      <c r="AR181" s="348">
        <f t="shared" si="200"/>
        <v>0</v>
      </c>
      <c r="AS181" s="348">
        <f t="shared" si="201"/>
        <v>0</v>
      </c>
      <c r="AT181" s="458">
        <v>1</v>
      </c>
      <c r="AU181" s="808">
        <f t="shared" si="202"/>
        <v>172</v>
      </c>
      <c r="AV181" s="807"/>
      <c r="AW181" s="652">
        <v>80</v>
      </c>
      <c r="AX181" s="786">
        <v>2</v>
      </c>
      <c r="AY181" s="787"/>
      <c r="AZ181" s="787">
        <v>7</v>
      </c>
      <c r="BA181" s="787" t="s">
        <v>891</v>
      </c>
      <c r="BB181" s="807" t="s">
        <v>289</v>
      </c>
      <c r="BC181" s="810">
        <f t="shared" si="203"/>
        <v>1</v>
      </c>
      <c r="BD181" s="348">
        <f t="shared" si="204"/>
        <v>172</v>
      </c>
      <c r="BE181" s="351">
        <f t="shared" si="205"/>
        <v>0.18604651162790697</v>
      </c>
      <c r="BF181" s="348">
        <f t="shared" si="206"/>
        <v>32</v>
      </c>
      <c r="BG181" s="351">
        <f t="shared" si="207"/>
        <v>0.81395348837209303</v>
      </c>
      <c r="BH181" s="348">
        <f t="shared" si="208"/>
        <v>140</v>
      </c>
      <c r="BI181" s="431">
        <v>0</v>
      </c>
      <c r="BJ181" s="463">
        <v>1</v>
      </c>
      <c r="BK181" s="352">
        <f t="shared" si="221"/>
        <v>172</v>
      </c>
      <c r="BL181" s="353">
        <f t="shared" si="222"/>
        <v>1.5999999999999996</v>
      </c>
      <c r="BM181" s="431">
        <v>3</v>
      </c>
      <c r="BN181" s="431" t="s">
        <v>290</v>
      </c>
      <c r="BO181" s="351">
        <f t="shared" si="209"/>
        <v>1</v>
      </c>
      <c r="BP181" s="348">
        <f t="shared" si="210"/>
        <v>172</v>
      </c>
      <c r="BQ181" s="353">
        <f t="shared" si="211"/>
        <v>0</v>
      </c>
      <c r="BR181" s="463">
        <v>1</v>
      </c>
      <c r="BS181" s="348">
        <f t="shared" si="212"/>
        <v>172</v>
      </c>
      <c r="BT181" s="431">
        <v>2</v>
      </c>
      <c r="BU181" s="351">
        <f t="shared" si="213"/>
        <v>1</v>
      </c>
      <c r="BV181" s="353">
        <f t="shared" si="214"/>
        <v>0</v>
      </c>
      <c r="BW181" s="451">
        <v>1</v>
      </c>
      <c r="BX181" s="473"/>
      <c r="BY181" s="475">
        <v>42048</v>
      </c>
      <c r="BZ181" s="663" t="s">
        <v>821</v>
      </c>
      <c r="CA181" s="666"/>
      <c r="CB181" s="354" t="str">
        <f t="shared" si="215"/>
        <v>To be realised</v>
      </c>
      <c r="CC181" s="447">
        <v>31</v>
      </c>
      <c r="CD181" s="447">
        <v>7</v>
      </c>
      <c r="CE181" s="355">
        <f t="shared" si="216"/>
        <v>31</v>
      </c>
      <c r="CF181" s="356">
        <f t="shared" si="217"/>
        <v>0</v>
      </c>
      <c r="CG181" s="348">
        <f t="shared" si="218"/>
        <v>0</v>
      </c>
      <c r="CH181" s="641">
        <f t="shared" si="219"/>
        <v>5</v>
      </c>
      <c r="CI181" s="441"/>
      <c r="CJ181" s="453">
        <v>0</v>
      </c>
      <c r="CK181" s="640">
        <f t="shared" si="223"/>
        <v>0</v>
      </c>
      <c r="CL181" s="441">
        <v>2</v>
      </c>
      <c r="CM181" s="357" t="str">
        <f t="shared" si="220"/>
        <v>Excellent coverage</v>
      </c>
      <c r="CN181" s="447">
        <v>0</v>
      </c>
      <c r="CO181" s="753" t="s">
        <v>65</v>
      </c>
      <c r="CP181" s="482"/>
    </row>
    <row r="182" spans="2:94" ht="30.75" customHeight="1" thickBot="1" x14ac:dyDescent="0.3">
      <c r="B182" s="800" t="s">
        <v>154</v>
      </c>
      <c r="C182" s="826" t="s">
        <v>591</v>
      </c>
      <c r="D182" s="826" t="s">
        <v>257</v>
      </c>
      <c r="E182" s="826" t="s">
        <v>168</v>
      </c>
      <c r="F182" s="788">
        <v>97.432495000000003</v>
      </c>
      <c r="G182" s="788">
        <v>25.350809000000002</v>
      </c>
      <c r="H182" s="788" t="s">
        <v>442</v>
      </c>
      <c r="I182" s="788" t="s">
        <v>213</v>
      </c>
      <c r="J182" s="788" t="s">
        <v>812</v>
      </c>
      <c r="K182" s="788" t="s">
        <v>800</v>
      </c>
      <c r="L182" s="788">
        <v>89</v>
      </c>
      <c r="M182" s="788">
        <v>552</v>
      </c>
      <c r="N182" s="787">
        <v>424</v>
      </c>
      <c r="O182" s="790">
        <v>473</v>
      </c>
      <c r="P182" s="796" t="str">
        <f t="shared" si="187"/>
        <v>2. Medium</v>
      </c>
      <c r="Q182" s="799" t="s">
        <v>938</v>
      </c>
      <c r="R182" s="798" t="s">
        <v>275</v>
      </c>
      <c r="S182" s="793" t="s">
        <v>299</v>
      </c>
      <c r="T182" s="365" t="str">
        <f t="shared" si="188"/>
        <v>Not covered</v>
      </c>
      <c r="U182" s="801" t="s">
        <v>619</v>
      </c>
      <c r="V182" s="783" t="s">
        <v>254</v>
      </c>
      <c r="W182" s="364" t="str">
        <f t="shared" si="189"/>
        <v>Not documented</v>
      </c>
      <c r="X182" s="803">
        <v>0</v>
      </c>
      <c r="Y182" s="799">
        <v>0</v>
      </c>
      <c r="Z182" s="799" t="s">
        <v>18</v>
      </c>
      <c r="AA182" s="807" t="s">
        <v>19</v>
      </c>
      <c r="AB182" s="803">
        <v>3</v>
      </c>
      <c r="AC182" s="799">
        <v>0</v>
      </c>
      <c r="AD182" s="834">
        <v>3600</v>
      </c>
      <c r="AE182" s="806">
        <v>0</v>
      </c>
      <c r="AF182" s="804">
        <v>0</v>
      </c>
      <c r="AG182" s="805"/>
      <c r="AH182" s="368">
        <f t="shared" si="190"/>
        <v>1</v>
      </c>
      <c r="AI182" s="346">
        <f t="shared" si="191"/>
        <v>473</v>
      </c>
      <c r="AJ182" s="347">
        <f t="shared" si="192"/>
        <v>1</v>
      </c>
      <c r="AK182" s="348">
        <f t="shared" si="193"/>
        <v>473</v>
      </c>
      <c r="AL182" s="345">
        <f t="shared" si="194"/>
        <v>1</v>
      </c>
      <c r="AM182" s="348">
        <f t="shared" si="195"/>
        <v>473</v>
      </c>
      <c r="AN182" s="349" t="str">
        <f t="shared" si="196"/>
        <v>80-100%</v>
      </c>
      <c r="AO182" s="345">
        <f t="shared" si="197"/>
        <v>0</v>
      </c>
      <c r="AP182" s="350">
        <f t="shared" si="198"/>
        <v>0</v>
      </c>
      <c r="AQ182" s="348">
        <f t="shared" si="199"/>
        <v>0</v>
      </c>
      <c r="AR182" s="348">
        <f t="shared" si="200"/>
        <v>0</v>
      </c>
      <c r="AS182" s="348">
        <f t="shared" si="201"/>
        <v>0</v>
      </c>
      <c r="AT182" s="458">
        <v>1</v>
      </c>
      <c r="AU182" s="808">
        <f t="shared" si="202"/>
        <v>473</v>
      </c>
      <c r="AV182" s="807"/>
      <c r="AW182" s="652">
        <v>4</v>
      </c>
      <c r="AX182" s="786">
        <v>8</v>
      </c>
      <c r="AY182" s="787"/>
      <c r="AZ182" s="787">
        <v>24</v>
      </c>
      <c r="BA182" s="787" t="s">
        <v>888</v>
      </c>
      <c r="BB182" s="807" t="s">
        <v>289</v>
      </c>
      <c r="BC182" s="810">
        <f t="shared" si="203"/>
        <v>1</v>
      </c>
      <c r="BD182" s="348">
        <f t="shared" si="204"/>
        <v>473</v>
      </c>
      <c r="BE182" s="351">
        <f t="shared" si="205"/>
        <v>0</v>
      </c>
      <c r="BF182" s="348">
        <f t="shared" si="206"/>
        <v>0</v>
      </c>
      <c r="BG182" s="351">
        <f t="shared" si="207"/>
        <v>1</v>
      </c>
      <c r="BH182" s="348">
        <f t="shared" si="208"/>
        <v>473</v>
      </c>
      <c r="BI182" s="431">
        <v>0</v>
      </c>
      <c r="BJ182" s="463">
        <v>1</v>
      </c>
      <c r="BK182" s="352">
        <f t="shared" si="221"/>
        <v>473</v>
      </c>
      <c r="BL182" s="353">
        <f t="shared" si="222"/>
        <v>0</v>
      </c>
      <c r="BM182" s="431">
        <v>4</v>
      </c>
      <c r="BN182" s="431" t="s">
        <v>290</v>
      </c>
      <c r="BO182" s="351">
        <f t="shared" si="209"/>
        <v>0.84566596194503174</v>
      </c>
      <c r="BP182" s="348">
        <f t="shared" si="210"/>
        <v>400</v>
      </c>
      <c r="BQ182" s="353">
        <f t="shared" si="211"/>
        <v>1.5199999999999996</v>
      </c>
      <c r="BR182" s="463">
        <v>0.85</v>
      </c>
      <c r="BS182" s="348">
        <f t="shared" si="212"/>
        <v>402.05</v>
      </c>
      <c r="BT182" s="431">
        <v>2</v>
      </c>
      <c r="BU182" s="351">
        <f t="shared" si="213"/>
        <v>0.42283298097251587</v>
      </c>
      <c r="BV182" s="353">
        <f t="shared" si="214"/>
        <v>3.5199999999999996</v>
      </c>
      <c r="BW182" s="451">
        <v>1</v>
      </c>
      <c r="BX182" s="473"/>
      <c r="BY182" s="475">
        <v>42048</v>
      </c>
      <c r="BZ182" s="663" t="s">
        <v>821</v>
      </c>
      <c r="CA182" s="666"/>
      <c r="CB182" s="354" t="str">
        <f t="shared" si="215"/>
        <v>To be realised</v>
      </c>
      <c r="CC182" s="447">
        <v>91</v>
      </c>
      <c r="CD182" s="447">
        <v>7</v>
      </c>
      <c r="CE182" s="355">
        <f t="shared" si="216"/>
        <v>89</v>
      </c>
      <c r="CF182" s="356">
        <f t="shared" si="217"/>
        <v>0</v>
      </c>
      <c r="CG182" s="348">
        <f t="shared" si="218"/>
        <v>0</v>
      </c>
      <c r="CH182" s="641">
        <f t="shared" si="219"/>
        <v>5</v>
      </c>
      <c r="CI182" s="441"/>
      <c r="CJ182" s="453">
        <v>0</v>
      </c>
      <c r="CK182" s="640">
        <f t="shared" si="223"/>
        <v>0</v>
      </c>
      <c r="CL182" s="441">
        <v>2</v>
      </c>
      <c r="CM182" s="357" t="str">
        <f t="shared" si="220"/>
        <v>Excellent coverage</v>
      </c>
      <c r="CN182" s="447">
        <v>0</v>
      </c>
      <c r="CO182" s="753" t="s">
        <v>65</v>
      </c>
      <c r="CP182" s="482"/>
    </row>
    <row r="183" spans="2:94" ht="30.75" customHeight="1" thickBot="1" x14ac:dyDescent="0.3">
      <c r="B183" s="800" t="s">
        <v>154</v>
      </c>
      <c r="C183" s="826" t="s">
        <v>592</v>
      </c>
      <c r="D183" s="826" t="s">
        <v>260</v>
      </c>
      <c r="E183" s="826" t="s">
        <v>169</v>
      </c>
      <c r="F183" s="788">
        <v>98.025662999999994</v>
      </c>
      <c r="G183" s="788">
        <v>25.418084</v>
      </c>
      <c r="H183" s="788" t="s">
        <v>442</v>
      </c>
      <c r="I183" s="788" t="s">
        <v>221</v>
      </c>
      <c r="J183" s="788" t="s">
        <v>814</v>
      </c>
      <c r="K183" s="788" t="s">
        <v>800</v>
      </c>
      <c r="L183" s="788">
        <v>172</v>
      </c>
      <c r="M183" s="788">
        <v>838</v>
      </c>
      <c r="N183" s="787">
        <v>1011</v>
      </c>
      <c r="O183" s="790">
        <v>1011</v>
      </c>
      <c r="P183" s="796" t="str">
        <f t="shared" si="187"/>
        <v>2. Medium</v>
      </c>
      <c r="Q183" s="799" t="s">
        <v>330</v>
      </c>
      <c r="R183" s="798" t="s">
        <v>234</v>
      </c>
      <c r="S183" s="793" t="s">
        <v>299</v>
      </c>
      <c r="T183" s="365" t="str">
        <f t="shared" si="188"/>
        <v>Not covered</v>
      </c>
      <c r="U183" s="801" t="s">
        <v>619</v>
      </c>
      <c r="V183" s="783" t="s">
        <v>254</v>
      </c>
      <c r="W183" s="364" t="str">
        <f t="shared" si="189"/>
        <v>Not documented</v>
      </c>
      <c r="X183" s="803">
        <v>0</v>
      </c>
      <c r="Y183" s="799">
        <v>0</v>
      </c>
      <c r="Z183" s="799" t="s">
        <v>18</v>
      </c>
      <c r="AA183" s="807" t="s">
        <v>19</v>
      </c>
      <c r="AB183" s="803">
        <v>0</v>
      </c>
      <c r="AC183" s="799">
        <v>0</v>
      </c>
      <c r="AD183" s="834">
        <v>18000</v>
      </c>
      <c r="AE183" s="806">
        <v>0</v>
      </c>
      <c r="AF183" s="804">
        <v>0</v>
      </c>
      <c r="AG183" s="805"/>
      <c r="AH183" s="368">
        <f t="shared" si="190"/>
        <v>1</v>
      </c>
      <c r="AI183" s="346">
        <f t="shared" si="191"/>
        <v>1011</v>
      </c>
      <c r="AJ183" s="347">
        <f t="shared" si="192"/>
        <v>1</v>
      </c>
      <c r="AK183" s="348">
        <f t="shared" si="193"/>
        <v>1011</v>
      </c>
      <c r="AL183" s="345">
        <f t="shared" si="194"/>
        <v>1</v>
      </c>
      <c r="AM183" s="348">
        <f t="shared" si="195"/>
        <v>1011</v>
      </c>
      <c r="AN183" s="349" t="str">
        <f t="shared" si="196"/>
        <v>80-100%</v>
      </c>
      <c r="AO183" s="345">
        <f t="shared" si="197"/>
        <v>0</v>
      </c>
      <c r="AP183" s="350">
        <f t="shared" si="198"/>
        <v>0</v>
      </c>
      <c r="AQ183" s="348">
        <f t="shared" si="199"/>
        <v>2.5274999999999999</v>
      </c>
      <c r="AR183" s="348">
        <f t="shared" si="200"/>
        <v>0</v>
      </c>
      <c r="AS183" s="348">
        <f t="shared" si="201"/>
        <v>0</v>
      </c>
      <c r="AT183" s="458">
        <v>1</v>
      </c>
      <c r="AU183" s="808">
        <f t="shared" si="202"/>
        <v>1011</v>
      </c>
      <c r="AV183" s="807"/>
      <c r="AW183" s="652">
        <v>8</v>
      </c>
      <c r="AX183" s="786">
        <v>44</v>
      </c>
      <c r="AY183" s="787"/>
      <c r="AZ183" s="787">
        <v>0</v>
      </c>
      <c r="BA183" s="787"/>
      <c r="BB183" s="807" t="s">
        <v>289</v>
      </c>
      <c r="BC183" s="810">
        <f t="shared" si="203"/>
        <v>0.87042532146389717</v>
      </c>
      <c r="BD183" s="348">
        <f t="shared" si="204"/>
        <v>880</v>
      </c>
      <c r="BE183" s="351">
        <f t="shared" si="205"/>
        <v>0.87042532146389717</v>
      </c>
      <c r="BF183" s="348">
        <f t="shared" si="206"/>
        <v>880</v>
      </c>
      <c r="BG183" s="351">
        <f t="shared" si="207"/>
        <v>0</v>
      </c>
      <c r="BH183" s="348">
        <f t="shared" si="208"/>
        <v>0</v>
      </c>
      <c r="BI183" s="431">
        <v>0</v>
      </c>
      <c r="BJ183" s="463">
        <v>0.87</v>
      </c>
      <c r="BK183" s="352">
        <f t="shared" si="221"/>
        <v>879.57</v>
      </c>
      <c r="BL183" s="353">
        <f t="shared" si="222"/>
        <v>50.55</v>
      </c>
      <c r="BM183" s="431">
        <v>6</v>
      </c>
      <c r="BN183" s="431" t="s">
        <v>290</v>
      </c>
      <c r="BO183" s="351">
        <f t="shared" si="209"/>
        <v>0.59347181008902072</v>
      </c>
      <c r="BP183" s="348">
        <f t="shared" si="210"/>
        <v>600</v>
      </c>
      <c r="BQ183" s="353">
        <f t="shared" si="211"/>
        <v>2.3800000000000008</v>
      </c>
      <c r="BR183" s="463">
        <v>0.59</v>
      </c>
      <c r="BS183" s="348">
        <f t="shared" si="212"/>
        <v>596.49</v>
      </c>
      <c r="BT183" s="431">
        <v>0</v>
      </c>
      <c r="BU183" s="351">
        <f t="shared" si="213"/>
        <v>0</v>
      </c>
      <c r="BV183" s="353">
        <f t="shared" si="214"/>
        <v>8.3800000000000008</v>
      </c>
      <c r="BW183" s="451">
        <v>0</v>
      </c>
      <c r="BX183" s="473" t="s">
        <v>861</v>
      </c>
      <c r="BY183" s="475">
        <v>42053</v>
      </c>
      <c r="BZ183" s="663" t="s">
        <v>819</v>
      </c>
      <c r="CA183" s="666"/>
      <c r="CB183" s="354" t="str">
        <f t="shared" si="215"/>
        <v>To be realised</v>
      </c>
      <c r="CC183" s="447">
        <v>198</v>
      </c>
      <c r="CD183" s="447">
        <v>4</v>
      </c>
      <c r="CE183" s="355">
        <f t="shared" si="216"/>
        <v>172</v>
      </c>
      <c r="CF183" s="356">
        <f t="shared" si="217"/>
        <v>0</v>
      </c>
      <c r="CG183" s="348">
        <f t="shared" si="218"/>
        <v>0</v>
      </c>
      <c r="CH183" s="641">
        <f t="shared" si="219"/>
        <v>8</v>
      </c>
      <c r="CI183" s="441"/>
      <c r="CJ183" s="453">
        <v>0</v>
      </c>
      <c r="CK183" s="640">
        <f t="shared" si="223"/>
        <v>0</v>
      </c>
      <c r="CL183" s="441">
        <v>8</v>
      </c>
      <c r="CM183" s="357" t="str">
        <f t="shared" si="220"/>
        <v>Excellent coverage</v>
      </c>
      <c r="CN183" s="447">
        <v>0</v>
      </c>
      <c r="CO183" s="753" t="s">
        <v>292</v>
      </c>
      <c r="CP183" s="482"/>
    </row>
    <row r="184" spans="2:94" ht="28.5" customHeight="1" thickBot="1" x14ac:dyDescent="0.3">
      <c r="B184" s="800" t="s">
        <v>154</v>
      </c>
      <c r="C184" s="826" t="s">
        <v>593</v>
      </c>
      <c r="D184" s="826" t="s">
        <v>257</v>
      </c>
      <c r="E184" s="826" t="s">
        <v>170</v>
      </c>
      <c r="F184" s="788">
        <v>97.427959999999999</v>
      </c>
      <c r="G184" s="788">
        <v>25.33351</v>
      </c>
      <c r="H184" s="788" t="s">
        <v>442</v>
      </c>
      <c r="I184" s="788" t="s">
        <v>213</v>
      </c>
      <c r="J184" s="788" t="s">
        <v>812</v>
      </c>
      <c r="K184" s="788" t="s">
        <v>800</v>
      </c>
      <c r="L184" s="788">
        <v>42</v>
      </c>
      <c r="M184" s="788">
        <v>338</v>
      </c>
      <c r="N184" s="787">
        <v>125</v>
      </c>
      <c r="O184" s="790">
        <v>177</v>
      </c>
      <c r="P184" s="796" t="str">
        <f t="shared" si="187"/>
        <v>1. Small</v>
      </c>
      <c r="Q184" s="799" t="s">
        <v>938</v>
      </c>
      <c r="R184" s="798" t="s">
        <v>275</v>
      </c>
      <c r="S184" s="793" t="s">
        <v>299</v>
      </c>
      <c r="T184" s="365" t="str">
        <f t="shared" si="188"/>
        <v>Not covered</v>
      </c>
      <c r="U184" s="801" t="s">
        <v>619</v>
      </c>
      <c r="V184" s="783" t="s">
        <v>254</v>
      </c>
      <c r="W184" s="364" t="str">
        <f t="shared" si="189"/>
        <v>Not documented</v>
      </c>
      <c r="X184" s="803">
        <v>0</v>
      </c>
      <c r="Y184" s="799">
        <v>0</v>
      </c>
      <c r="Z184" s="799" t="s">
        <v>18</v>
      </c>
      <c r="AA184" s="807" t="s">
        <v>19</v>
      </c>
      <c r="AB184" s="803">
        <v>2</v>
      </c>
      <c r="AC184" s="799">
        <v>0</v>
      </c>
      <c r="AD184" s="834">
        <v>0</v>
      </c>
      <c r="AE184" s="806">
        <v>0</v>
      </c>
      <c r="AF184" s="804">
        <v>0</v>
      </c>
      <c r="AG184" s="805"/>
      <c r="AH184" s="368">
        <f t="shared" si="190"/>
        <v>1</v>
      </c>
      <c r="AI184" s="346">
        <f t="shared" si="191"/>
        <v>177</v>
      </c>
      <c r="AJ184" s="347">
        <f t="shared" si="192"/>
        <v>1</v>
      </c>
      <c r="AK184" s="348">
        <f t="shared" si="193"/>
        <v>177</v>
      </c>
      <c r="AL184" s="345">
        <f t="shared" si="194"/>
        <v>1</v>
      </c>
      <c r="AM184" s="348">
        <f t="shared" si="195"/>
        <v>177</v>
      </c>
      <c r="AN184" s="349" t="str">
        <f t="shared" si="196"/>
        <v>80-100%</v>
      </c>
      <c r="AO184" s="345">
        <f t="shared" si="197"/>
        <v>0</v>
      </c>
      <c r="AP184" s="350">
        <f t="shared" si="198"/>
        <v>0</v>
      </c>
      <c r="AQ184" s="348">
        <f t="shared" si="199"/>
        <v>0</v>
      </c>
      <c r="AR184" s="348">
        <f t="shared" si="200"/>
        <v>0</v>
      </c>
      <c r="AS184" s="348">
        <f t="shared" si="201"/>
        <v>0</v>
      </c>
      <c r="AT184" s="458">
        <v>1</v>
      </c>
      <c r="AU184" s="808">
        <f t="shared" si="202"/>
        <v>177</v>
      </c>
      <c r="AV184" s="807"/>
      <c r="AW184" s="652">
        <v>7</v>
      </c>
      <c r="AX184" s="786">
        <v>0</v>
      </c>
      <c r="AY184" s="787"/>
      <c r="AZ184" s="787">
        <v>10</v>
      </c>
      <c r="BA184" s="787" t="s">
        <v>888</v>
      </c>
      <c r="BB184" s="807" t="s">
        <v>289</v>
      </c>
      <c r="BC184" s="810">
        <f t="shared" si="203"/>
        <v>1</v>
      </c>
      <c r="BD184" s="348">
        <f t="shared" si="204"/>
        <v>177</v>
      </c>
      <c r="BE184" s="351">
        <f t="shared" si="205"/>
        <v>0</v>
      </c>
      <c r="BF184" s="348">
        <f t="shared" si="206"/>
        <v>0</v>
      </c>
      <c r="BG184" s="351">
        <f t="shared" si="207"/>
        <v>1</v>
      </c>
      <c r="BH184" s="348">
        <f t="shared" si="208"/>
        <v>177</v>
      </c>
      <c r="BI184" s="431">
        <v>0</v>
      </c>
      <c r="BJ184" s="463">
        <v>1</v>
      </c>
      <c r="BK184" s="352">
        <f t="shared" si="221"/>
        <v>177</v>
      </c>
      <c r="BL184" s="353">
        <f t="shared" si="222"/>
        <v>0</v>
      </c>
      <c r="BM184" s="431">
        <v>4</v>
      </c>
      <c r="BN184" s="431" t="s">
        <v>290</v>
      </c>
      <c r="BO184" s="351">
        <f t="shared" si="209"/>
        <v>1</v>
      </c>
      <c r="BP184" s="348">
        <f t="shared" si="210"/>
        <v>177</v>
      </c>
      <c r="BQ184" s="353">
        <f t="shared" si="211"/>
        <v>0</v>
      </c>
      <c r="BR184" s="463">
        <v>1</v>
      </c>
      <c r="BS184" s="348">
        <f t="shared" si="212"/>
        <v>177</v>
      </c>
      <c r="BT184" s="431">
        <v>2</v>
      </c>
      <c r="BU184" s="351">
        <f t="shared" si="213"/>
        <v>1</v>
      </c>
      <c r="BV184" s="353">
        <f t="shared" si="214"/>
        <v>1.38</v>
      </c>
      <c r="BW184" s="451">
        <v>1</v>
      </c>
      <c r="BX184" s="473"/>
      <c r="BY184" s="475">
        <v>42048</v>
      </c>
      <c r="BZ184" s="663" t="s">
        <v>821</v>
      </c>
      <c r="CA184" s="666"/>
      <c r="CB184" s="354" t="str">
        <f t="shared" si="215"/>
        <v>To be realised</v>
      </c>
      <c r="CC184" s="447">
        <v>67</v>
      </c>
      <c r="CD184" s="447">
        <v>7</v>
      </c>
      <c r="CE184" s="355">
        <f t="shared" si="216"/>
        <v>42</v>
      </c>
      <c r="CF184" s="356">
        <f t="shared" si="217"/>
        <v>0</v>
      </c>
      <c r="CG184" s="348">
        <f t="shared" si="218"/>
        <v>0</v>
      </c>
      <c r="CH184" s="641">
        <f t="shared" si="219"/>
        <v>5</v>
      </c>
      <c r="CI184" s="441"/>
      <c r="CJ184" s="453">
        <v>0</v>
      </c>
      <c r="CK184" s="640">
        <f t="shared" si="223"/>
        <v>0</v>
      </c>
      <c r="CL184" s="441">
        <v>2</v>
      </c>
      <c r="CM184" s="357" t="str">
        <f t="shared" si="220"/>
        <v>Excellent coverage</v>
      </c>
      <c r="CN184" s="447">
        <v>0</v>
      </c>
      <c r="CO184" s="753" t="s">
        <v>65</v>
      </c>
      <c r="CP184" s="482"/>
    </row>
    <row r="185" spans="2:94" ht="28.5" customHeight="1" thickBot="1" x14ac:dyDescent="0.3">
      <c r="B185" s="800" t="s">
        <v>154</v>
      </c>
      <c r="C185" s="826" t="s">
        <v>594</v>
      </c>
      <c r="D185" s="826" t="s">
        <v>257</v>
      </c>
      <c r="E185" s="826" t="s">
        <v>171</v>
      </c>
      <c r="F185" s="788">
        <v>97.443702000000002</v>
      </c>
      <c r="G185" s="788">
        <v>25.351241999999999</v>
      </c>
      <c r="H185" s="788" t="s">
        <v>442</v>
      </c>
      <c r="I185" s="788" t="s">
        <v>213</v>
      </c>
      <c r="J185" s="788" t="s">
        <v>812</v>
      </c>
      <c r="K185" s="788" t="s">
        <v>800</v>
      </c>
      <c r="L185" s="788">
        <v>89</v>
      </c>
      <c r="M185" s="788">
        <v>395</v>
      </c>
      <c r="N185" s="787">
        <v>192</v>
      </c>
      <c r="O185" s="790">
        <v>365</v>
      </c>
      <c r="P185" s="796" t="str">
        <f t="shared" si="187"/>
        <v>2. Medium</v>
      </c>
      <c r="Q185" s="799" t="s">
        <v>938</v>
      </c>
      <c r="R185" s="798" t="s">
        <v>275</v>
      </c>
      <c r="S185" s="793" t="s">
        <v>299</v>
      </c>
      <c r="T185" s="365" t="str">
        <f t="shared" si="188"/>
        <v>Not covered</v>
      </c>
      <c r="U185" s="801" t="s">
        <v>619</v>
      </c>
      <c r="V185" s="783" t="s">
        <v>254</v>
      </c>
      <c r="W185" s="364" t="str">
        <f t="shared" si="189"/>
        <v>Not documented</v>
      </c>
      <c r="X185" s="803">
        <v>0</v>
      </c>
      <c r="Y185" s="799">
        <v>0</v>
      </c>
      <c r="Z185" s="799" t="s">
        <v>18</v>
      </c>
      <c r="AA185" s="807" t="s">
        <v>19</v>
      </c>
      <c r="AB185" s="803">
        <v>4</v>
      </c>
      <c r="AC185" s="799">
        <v>0</v>
      </c>
      <c r="AD185" s="834">
        <v>3000</v>
      </c>
      <c r="AE185" s="806">
        <v>0</v>
      </c>
      <c r="AF185" s="804">
        <v>0</v>
      </c>
      <c r="AG185" s="805"/>
      <c r="AH185" s="368">
        <f t="shared" si="190"/>
        <v>1</v>
      </c>
      <c r="AI185" s="346">
        <f t="shared" si="191"/>
        <v>365</v>
      </c>
      <c r="AJ185" s="347">
        <f t="shared" si="192"/>
        <v>1</v>
      </c>
      <c r="AK185" s="348">
        <f t="shared" si="193"/>
        <v>365</v>
      </c>
      <c r="AL185" s="345">
        <f t="shared" si="194"/>
        <v>1</v>
      </c>
      <c r="AM185" s="348">
        <f t="shared" si="195"/>
        <v>365</v>
      </c>
      <c r="AN185" s="349" t="str">
        <f t="shared" si="196"/>
        <v>80-100%</v>
      </c>
      <c r="AO185" s="345">
        <f t="shared" si="197"/>
        <v>0</v>
      </c>
      <c r="AP185" s="350">
        <f t="shared" si="198"/>
        <v>0</v>
      </c>
      <c r="AQ185" s="348">
        <f t="shared" si="199"/>
        <v>0</v>
      </c>
      <c r="AR185" s="348">
        <f t="shared" si="200"/>
        <v>0</v>
      </c>
      <c r="AS185" s="348">
        <f t="shared" si="201"/>
        <v>0</v>
      </c>
      <c r="AT185" s="458">
        <v>1</v>
      </c>
      <c r="AU185" s="808">
        <f t="shared" si="202"/>
        <v>365</v>
      </c>
      <c r="AV185" s="807"/>
      <c r="AW185" s="652">
        <v>10</v>
      </c>
      <c r="AX185" s="786">
        <v>2</v>
      </c>
      <c r="AY185" s="787"/>
      <c r="AZ185" s="787">
        <v>11</v>
      </c>
      <c r="BA185" s="787" t="s">
        <v>888</v>
      </c>
      <c r="BB185" s="807" t="s">
        <v>289</v>
      </c>
      <c r="BC185" s="810">
        <f t="shared" si="203"/>
        <v>0.71232876712328763</v>
      </c>
      <c r="BD185" s="348">
        <f t="shared" si="204"/>
        <v>260</v>
      </c>
      <c r="BE185" s="351">
        <f t="shared" si="205"/>
        <v>0.1095890410958904</v>
      </c>
      <c r="BF185" s="348">
        <f t="shared" si="206"/>
        <v>40</v>
      </c>
      <c r="BG185" s="351">
        <f t="shared" si="207"/>
        <v>0.60273972602739723</v>
      </c>
      <c r="BH185" s="348">
        <f t="shared" si="208"/>
        <v>220</v>
      </c>
      <c r="BI185" s="431">
        <v>0</v>
      </c>
      <c r="BJ185" s="463">
        <v>1</v>
      </c>
      <c r="BK185" s="352">
        <f t="shared" si="221"/>
        <v>365</v>
      </c>
      <c r="BL185" s="353">
        <f t="shared" si="222"/>
        <v>7.25</v>
      </c>
      <c r="BM185" s="431">
        <v>6</v>
      </c>
      <c r="BN185" s="431" t="s">
        <v>290</v>
      </c>
      <c r="BO185" s="351">
        <f t="shared" si="209"/>
        <v>1</v>
      </c>
      <c r="BP185" s="348">
        <f t="shared" si="210"/>
        <v>365</v>
      </c>
      <c r="BQ185" s="353">
        <f t="shared" si="211"/>
        <v>0</v>
      </c>
      <c r="BR185" s="463">
        <v>1</v>
      </c>
      <c r="BS185" s="348">
        <f t="shared" si="212"/>
        <v>365</v>
      </c>
      <c r="BT185" s="431">
        <v>2</v>
      </c>
      <c r="BU185" s="351">
        <f t="shared" si="213"/>
        <v>0.54794520547945202</v>
      </c>
      <c r="BV185" s="353">
        <f t="shared" si="214"/>
        <v>1.9500000000000002</v>
      </c>
      <c r="BW185" s="451">
        <v>1</v>
      </c>
      <c r="BX185" s="473"/>
      <c r="BY185" s="475">
        <v>42048</v>
      </c>
      <c r="BZ185" s="663" t="s">
        <v>821</v>
      </c>
      <c r="CA185" s="666"/>
      <c r="CB185" s="354" t="str">
        <f t="shared" si="215"/>
        <v>To be realised</v>
      </c>
      <c r="CC185" s="447">
        <v>91</v>
      </c>
      <c r="CD185" s="447">
        <v>7</v>
      </c>
      <c r="CE185" s="355">
        <f t="shared" si="216"/>
        <v>89</v>
      </c>
      <c r="CF185" s="356">
        <f t="shared" si="217"/>
        <v>0</v>
      </c>
      <c r="CG185" s="348">
        <f t="shared" si="218"/>
        <v>0</v>
      </c>
      <c r="CH185" s="641">
        <f t="shared" si="219"/>
        <v>5</v>
      </c>
      <c r="CI185" s="441"/>
      <c r="CJ185" s="453">
        <v>0</v>
      </c>
      <c r="CK185" s="640">
        <f t="shared" si="223"/>
        <v>0</v>
      </c>
      <c r="CL185" s="441">
        <v>2</v>
      </c>
      <c r="CM185" s="357" t="str">
        <f t="shared" si="220"/>
        <v>Excellent coverage</v>
      </c>
      <c r="CN185" s="447">
        <v>0</v>
      </c>
      <c r="CO185" s="753" t="s">
        <v>65</v>
      </c>
      <c r="CP185" s="482"/>
    </row>
    <row r="186" spans="2:94" ht="28.5" customHeight="1" thickBot="1" x14ac:dyDescent="0.3">
      <c r="B186" s="800" t="s">
        <v>154</v>
      </c>
      <c r="C186" s="826" t="s">
        <v>595</v>
      </c>
      <c r="D186" s="826" t="s">
        <v>260</v>
      </c>
      <c r="E186" s="826" t="s">
        <v>173</v>
      </c>
      <c r="F186" s="788">
        <v>97.567116999999996</v>
      </c>
      <c r="G186" s="788">
        <v>24.768383</v>
      </c>
      <c r="H186" s="788" t="s">
        <v>442</v>
      </c>
      <c r="I186" s="788" t="s">
        <v>221</v>
      </c>
      <c r="J186" s="788" t="s">
        <v>814</v>
      </c>
      <c r="K186" s="788" t="s">
        <v>800</v>
      </c>
      <c r="L186" s="788">
        <v>1337</v>
      </c>
      <c r="M186" s="788">
        <v>6784</v>
      </c>
      <c r="N186" s="787">
        <v>1534</v>
      </c>
      <c r="O186" s="790">
        <v>1534</v>
      </c>
      <c r="P186" s="796" t="str">
        <f t="shared" si="187"/>
        <v>5. Massive</v>
      </c>
      <c r="Q186" s="799" t="s">
        <v>927</v>
      </c>
      <c r="R186" s="798" t="s">
        <v>276</v>
      </c>
      <c r="S186" s="800" t="s">
        <v>232</v>
      </c>
      <c r="T186" s="365" t="str">
        <f t="shared" si="188"/>
        <v>Covered</v>
      </c>
      <c r="U186" s="801">
        <v>42521</v>
      </c>
      <c r="V186" s="802" t="s">
        <v>252</v>
      </c>
      <c r="W186" s="364" t="str">
        <f t="shared" si="189"/>
        <v>Documented</v>
      </c>
      <c r="X186" s="803">
        <v>0</v>
      </c>
      <c r="Y186" s="799">
        <v>0</v>
      </c>
      <c r="Z186" s="799" t="s">
        <v>19</v>
      </c>
      <c r="AA186" s="807" t="s">
        <v>19</v>
      </c>
      <c r="AB186" s="803">
        <v>0</v>
      </c>
      <c r="AC186" s="799">
        <v>0</v>
      </c>
      <c r="AD186" s="834">
        <v>53805</v>
      </c>
      <c r="AE186" s="806">
        <v>0</v>
      </c>
      <c r="AF186" s="804">
        <v>1</v>
      </c>
      <c r="AG186" s="805" t="s">
        <v>831</v>
      </c>
      <c r="AH186" s="368">
        <f t="shared" si="190"/>
        <v>1</v>
      </c>
      <c r="AI186" s="346">
        <f t="shared" si="191"/>
        <v>1534</v>
      </c>
      <c r="AJ186" s="347">
        <f t="shared" si="192"/>
        <v>1</v>
      </c>
      <c r="AK186" s="348">
        <f t="shared" si="193"/>
        <v>1534</v>
      </c>
      <c r="AL186" s="345">
        <f t="shared" si="194"/>
        <v>1</v>
      </c>
      <c r="AM186" s="348">
        <f t="shared" si="195"/>
        <v>1534</v>
      </c>
      <c r="AN186" s="349" t="str">
        <f t="shared" si="196"/>
        <v>80-100%</v>
      </c>
      <c r="AO186" s="345">
        <f t="shared" si="197"/>
        <v>0</v>
      </c>
      <c r="AP186" s="350">
        <f t="shared" si="198"/>
        <v>0</v>
      </c>
      <c r="AQ186" s="348">
        <f t="shared" si="199"/>
        <v>3.835</v>
      </c>
      <c r="AR186" s="348">
        <f t="shared" si="200"/>
        <v>1337</v>
      </c>
      <c r="AS186" s="348">
        <f t="shared" si="201"/>
        <v>0</v>
      </c>
      <c r="AT186" s="458">
        <v>1</v>
      </c>
      <c r="AU186" s="808">
        <f t="shared" si="202"/>
        <v>1534</v>
      </c>
      <c r="AV186" s="807"/>
      <c r="AW186" s="652">
        <v>0</v>
      </c>
      <c r="AX186" s="786">
        <v>12</v>
      </c>
      <c r="AY186" s="787">
        <v>0</v>
      </c>
      <c r="AZ186" s="787">
        <v>77</v>
      </c>
      <c r="BA186" s="787" t="s">
        <v>889</v>
      </c>
      <c r="BB186" s="807" t="s">
        <v>290</v>
      </c>
      <c r="BC186" s="810">
        <f t="shared" si="203"/>
        <v>1</v>
      </c>
      <c r="BD186" s="348">
        <f t="shared" si="204"/>
        <v>1534</v>
      </c>
      <c r="BE186" s="351">
        <f t="shared" si="205"/>
        <v>0</v>
      </c>
      <c r="BF186" s="348">
        <f t="shared" si="206"/>
        <v>0</v>
      </c>
      <c r="BG186" s="351">
        <f t="shared" si="207"/>
        <v>1</v>
      </c>
      <c r="BH186" s="348">
        <f t="shared" si="208"/>
        <v>1534</v>
      </c>
      <c r="BI186" s="431">
        <v>0</v>
      </c>
      <c r="BJ186" s="463">
        <v>1</v>
      </c>
      <c r="BK186" s="352">
        <f t="shared" si="221"/>
        <v>1534</v>
      </c>
      <c r="BL186" s="353">
        <f t="shared" si="222"/>
        <v>0</v>
      </c>
      <c r="BM186" s="431">
        <v>16</v>
      </c>
      <c r="BN186" s="431" t="s">
        <v>290</v>
      </c>
      <c r="BO186" s="351">
        <f t="shared" si="209"/>
        <v>1</v>
      </c>
      <c r="BP186" s="348">
        <f t="shared" si="210"/>
        <v>1534</v>
      </c>
      <c r="BQ186" s="353">
        <f t="shared" si="211"/>
        <v>51.84</v>
      </c>
      <c r="BR186" s="463">
        <v>1</v>
      </c>
      <c r="BS186" s="348">
        <f t="shared" si="212"/>
        <v>1534</v>
      </c>
      <c r="BT186" s="431">
        <v>10</v>
      </c>
      <c r="BU186" s="351">
        <f t="shared" si="213"/>
        <v>0.65189048239895697</v>
      </c>
      <c r="BV186" s="353">
        <f t="shared" si="214"/>
        <v>57.84</v>
      </c>
      <c r="BW186" s="451">
        <v>0.65</v>
      </c>
      <c r="BX186" s="473"/>
      <c r="BY186" s="475"/>
      <c r="BZ186" s="663"/>
      <c r="CA186" s="666"/>
      <c r="CB186" s="354" t="str">
        <f t="shared" si="215"/>
        <v>To be realised</v>
      </c>
      <c r="CC186" s="447">
        <v>281</v>
      </c>
      <c r="CD186" s="447">
        <v>13</v>
      </c>
      <c r="CE186" s="355">
        <f t="shared" si="216"/>
        <v>1337</v>
      </c>
      <c r="CF186" s="356">
        <f t="shared" si="217"/>
        <v>0</v>
      </c>
      <c r="CG186" s="348">
        <f t="shared" si="218"/>
        <v>0</v>
      </c>
      <c r="CH186" s="641" t="str">
        <f t="shared" si="219"/>
        <v>Column BN to be completed</v>
      </c>
      <c r="CI186" s="441"/>
      <c r="CJ186" s="451">
        <v>1</v>
      </c>
      <c r="CK186" s="640">
        <f t="shared" si="223"/>
        <v>1534</v>
      </c>
      <c r="CL186" s="441">
        <v>12</v>
      </c>
      <c r="CM186" s="357" t="str">
        <f t="shared" si="220"/>
        <v>Excellent coverage</v>
      </c>
      <c r="CN186" s="447">
        <v>0</v>
      </c>
      <c r="CO186" s="753" t="s">
        <v>65</v>
      </c>
      <c r="CP186" s="482"/>
    </row>
    <row r="187" spans="2:94" ht="28.5" customHeight="1" thickBot="1" x14ac:dyDescent="0.3">
      <c r="B187" s="800" t="s">
        <v>154</v>
      </c>
      <c r="C187" s="826" t="s">
        <v>595</v>
      </c>
      <c r="D187" s="826" t="s">
        <v>260</v>
      </c>
      <c r="E187" s="826" t="s">
        <v>676</v>
      </c>
      <c r="F187" s="788">
        <v>97.567116999999996</v>
      </c>
      <c r="G187" s="788">
        <v>24.768383</v>
      </c>
      <c r="H187" s="788" t="s">
        <v>453</v>
      </c>
      <c r="I187" s="788" t="s">
        <v>221</v>
      </c>
      <c r="J187" s="788" t="s">
        <v>814</v>
      </c>
      <c r="K187" s="827" t="s">
        <v>801</v>
      </c>
      <c r="L187" s="788"/>
      <c r="M187" s="788"/>
      <c r="N187" s="787">
        <v>3541</v>
      </c>
      <c r="O187" s="790">
        <v>3541</v>
      </c>
      <c r="P187" s="796" t="str">
        <f t="shared" si="187"/>
        <v>1. Small</v>
      </c>
      <c r="Q187" s="799" t="s">
        <v>927</v>
      </c>
      <c r="R187" s="798" t="s">
        <v>276</v>
      </c>
      <c r="S187" s="800" t="s">
        <v>232</v>
      </c>
      <c r="T187" s="365" t="str">
        <f t="shared" si="188"/>
        <v>Covered</v>
      </c>
      <c r="U187" s="801">
        <v>42521</v>
      </c>
      <c r="V187" s="802" t="s">
        <v>252</v>
      </c>
      <c r="W187" s="364" t="str">
        <f t="shared" si="189"/>
        <v>Documented</v>
      </c>
      <c r="X187" s="803">
        <v>0</v>
      </c>
      <c r="Y187" s="799">
        <v>0</v>
      </c>
      <c r="Z187" s="799" t="s">
        <v>19</v>
      </c>
      <c r="AA187" s="807" t="s">
        <v>19</v>
      </c>
      <c r="AB187" s="803">
        <v>3</v>
      </c>
      <c r="AC187" s="799">
        <v>0</v>
      </c>
      <c r="AD187" s="834">
        <v>70000</v>
      </c>
      <c r="AE187" s="806">
        <v>0</v>
      </c>
      <c r="AF187" s="804">
        <v>1</v>
      </c>
      <c r="AG187" s="805" t="s">
        <v>831</v>
      </c>
      <c r="AH187" s="368">
        <f t="shared" si="190"/>
        <v>1</v>
      </c>
      <c r="AI187" s="346">
        <f t="shared" si="191"/>
        <v>3541</v>
      </c>
      <c r="AJ187" s="347">
        <f t="shared" si="192"/>
        <v>1</v>
      </c>
      <c r="AK187" s="348">
        <f t="shared" si="193"/>
        <v>3541</v>
      </c>
      <c r="AL187" s="345">
        <f t="shared" si="194"/>
        <v>1</v>
      </c>
      <c r="AM187" s="348">
        <f t="shared" si="195"/>
        <v>3541</v>
      </c>
      <c r="AN187" s="349" t="str">
        <f t="shared" si="196"/>
        <v>80-100%</v>
      </c>
      <c r="AO187" s="345">
        <f t="shared" si="197"/>
        <v>0</v>
      </c>
      <c r="AP187" s="350">
        <f t="shared" si="198"/>
        <v>0</v>
      </c>
      <c r="AQ187" s="348">
        <f t="shared" si="199"/>
        <v>5.8524999999999991</v>
      </c>
      <c r="AR187" s="348">
        <f t="shared" si="200"/>
        <v>0</v>
      </c>
      <c r="AS187" s="348">
        <f t="shared" si="201"/>
        <v>0</v>
      </c>
      <c r="AT187" s="458">
        <v>1</v>
      </c>
      <c r="AU187" s="808">
        <f t="shared" si="202"/>
        <v>3541</v>
      </c>
      <c r="AV187" s="807"/>
      <c r="AW187" s="652">
        <v>0</v>
      </c>
      <c r="AX187" s="786">
        <v>0</v>
      </c>
      <c r="AY187" s="787">
        <v>0</v>
      </c>
      <c r="AZ187" s="787">
        <v>623</v>
      </c>
      <c r="BA187" s="787" t="s">
        <v>889</v>
      </c>
      <c r="BB187" s="807" t="s">
        <v>289</v>
      </c>
      <c r="BC187" s="810">
        <f t="shared" si="203"/>
        <v>1</v>
      </c>
      <c r="BD187" s="348">
        <f t="shared" si="204"/>
        <v>3541</v>
      </c>
      <c r="BE187" s="351">
        <f t="shared" si="205"/>
        <v>0</v>
      </c>
      <c r="BF187" s="348">
        <f t="shared" si="206"/>
        <v>0</v>
      </c>
      <c r="BG187" s="351">
        <f t="shared" si="207"/>
        <v>1</v>
      </c>
      <c r="BH187" s="348">
        <f t="shared" si="208"/>
        <v>3541</v>
      </c>
      <c r="BI187" s="431">
        <v>0</v>
      </c>
      <c r="BJ187" s="463">
        <v>1</v>
      </c>
      <c r="BK187" s="352">
        <f t="shared" si="221"/>
        <v>3541</v>
      </c>
      <c r="BL187" s="353">
        <f t="shared" si="222"/>
        <v>0</v>
      </c>
      <c r="BM187" s="431">
        <v>0</v>
      </c>
      <c r="BN187" s="431" t="s">
        <v>290</v>
      </c>
      <c r="BO187" s="351">
        <f t="shared" si="209"/>
        <v>0</v>
      </c>
      <c r="BP187" s="348">
        <f t="shared" si="210"/>
        <v>0</v>
      </c>
      <c r="BQ187" s="353">
        <f t="shared" si="211"/>
        <v>0</v>
      </c>
      <c r="BR187" s="463">
        <v>0</v>
      </c>
      <c r="BS187" s="348">
        <f t="shared" si="212"/>
        <v>0</v>
      </c>
      <c r="BT187" s="431">
        <v>0</v>
      </c>
      <c r="BU187" s="351">
        <f t="shared" si="213"/>
        <v>0</v>
      </c>
      <c r="BV187" s="353">
        <f t="shared" si="214"/>
        <v>0</v>
      </c>
      <c r="BW187" s="451">
        <v>0</v>
      </c>
      <c r="BX187" s="473" t="s">
        <v>862</v>
      </c>
      <c r="BY187" s="475"/>
      <c r="BZ187" s="663"/>
      <c r="CA187" s="666"/>
      <c r="CB187" s="354" t="str">
        <f t="shared" si="215"/>
        <v>To be realised</v>
      </c>
      <c r="CC187" s="447">
        <v>659</v>
      </c>
      <c r="CD187" s="447">
        <v>13</v>
      </c>
      <c r="CE187" s="355">
        <f t="shared" si="216"/>
        <v>0</v>
      </c>
      <c r="CF187" s="356">
        <f t="shared" si="217"/>
        <v>1</v>
      </c>
      <c r="CG187" s="348">
        <f t="shared" si="218"/>
        <v>3541</v>
      </c>
      <c r="CH187" s="641" t="str">
        <f t="shared" si="219"/>
        <v>Column BN to be completed</v>
      </c>
      <c r="CI187" s="441"/>
      <c r="CJ187" s="451">
        <v>1</v>
      </c>
      <c r="CK187" s="640">
        <f t="shared" si="223"/>
        <v>3541</v>
      </c>
      <c r="CL187" s="441">
        <v>13</v>
      </c>
      <c r="CM187" s="357" t="str">
        <f t="shared" si="220"/>
        <v>Excellent coverage</v>
      </c>
      <c r="CN187" s="447">
        <v>0</v>
      </c>
      <c r="CO187" s="753" t="s">
        <v>66</v>
      </c>
      <c r="CP187" s="482"/>
    </row>
    <row r="188" spans="2:94" ht="28.5" customHeight="1" thickBot="1" x14ac:dyDescent="0.3">
      <c r="B188" s="800" t="s">
        <v>154</v>
      </c>
      <c r="C188" s="826" t="s">
        <v>595</v>
      </c>
      <c r="D188" s="826" t="s">
        <v>260</v>
      </c>
      <c r="E188" s="826" t="s">
        <v>675</v>
      </c>
      <c r="F188" s="788"/>
      <c r="G188" s="788"/>
      <c r="H188" s="788" t="s">
        <v>442</v>
      </c>
      <c r="I188" s="788" t="s">
        <v>221</v>
      </c>
      <c r="J188" s="788" t="s">
        <v>814</v>
      </c>
      <c r="K188" s="827" t="s">
        <v>800</v>
      </c>
      <c r="L188" s="788"/>
      <c r="M188" s="788"/>
      <c r="N188" s="787">
        <v>218</v>
      </c>
      <c r="O188" s="790">
        <v>218</v>
      </c>
      <c r="P188" s="796" t="str">
        <f t="shared" si="187"/>
        <v>1. Small</v>
      </c>
      <c r="Q188" s="799" t="s">
        <v>927</v>
      </c>
      <c r="R188" s="798" t="s">
        <v>276</v>
      </c>
      <c r="S188" s="800" t="s">
        <v>232</v>
      </c>
      <c r="T188" s="365" t="str">
        <f t="shared" si="188"/>
        <v>Covered</v>
      </c>
      <c r="U188" s="801">
        <v>42521</v>
      </c>
      <c r="V188" s="802" t="s">
        <v>252</v>
      </c>
      <c r="W188" s="364" t="str">
        <f t="shared" si="189"/>
        <v>Documented</v>
      </c>
      <c r="X188" s="803">
        <v>0</v>
      </c>
      <c r="Y188" s="799">
        <v>0</v>
      </c>
      <c r="Z188" s="799" t="s">
        <v>19</v>
      </c>
      <c r="AA188" s="807" t="s">
        <v>19</v>
      </c>
      <c r="AB188" s="803">
        <v>0</v>
      </c>
      <c r="AC188" s="799">
        <v>0</v>
      </c>
      <c r="AD188" s="834">
        <v>30240</v>
      </c>
      <c r="AE188" s="828">
        <v>0</v>
      </c>
      <c r="AF188" s="804">
        <v>1</v>
      </c>
      <c r="AG188" s="805" t="s">
        <v>831</v>
      </c>
      <c r="AH188" s="368">
        <f t="shared" si="190"/>
        <v>1</v>
      </c>
      <c r="AI188" s="346">
        <f t="shared" si="191"/>
        <v>218</v>
      </c>
      <c r="AJ188" s="347">
        <f t="shared" si="192"/>
        <v>1</v>
      </c>
      <c r="AK188" s="348">
        <f t="shared" si="193"/>
        <v>218</v>
      </c>
      <c r="AL188" s="345">
        <f t="shared" si="194"/>
        <v>1</v>
      </c>
      <c r="AM188" s="348">
        <f t="shared" si="195"/>
        <v>218</v>
      </c>
      <c r="AN188" s="349" t="str">
        <f t="shared" si="196"/>
        <v>80-100%</v>
      </c>
      <c r="AO188" s="345">
        <f t="shared" si="197"/>
        <v>0</v>
      </c>
      <c r="AP188" s="350">
        <f t="shared" si="198"/>
        <v>0</v>
      </c>
      <c r="AQ188" s="348">
        <f t="shared" si="199"/>
        <v>0.54500000000000004</v>
      </c>
      <c r="AR188" s="348">
        <f t="shared" si="200"/>
        <v>0</v>
      </c>
      <c r="AS188" s="348">
        <f t="shared" si="201"/>
        <v>0</v>
      </c>
      <c r="AT188" s="458">
        <v>1</v>
      </c>
      <c r="AU188" s="808">
        <f t="shared" si="202"/>
        <v>218</v>
      </c>
      <c r="AV188" s="807"/>
      <c r="AW188" s="652">
        <v>4</v>
      </c>
      <c r="AX188" s="786">
        <v>0</v>
      </c>
      <c r="AY188" s="787">
        <v>0</v>
      </c>
      <c r="AZ188" s="787">
        <v>22</v>
      </c>
      <c r="BA188" s="787" t="s">
        <v>888</v>
      </c>
      <c r="BB188" s="807" t="s">
        <v>89</v>
      </c>
      <c r="BC188" s="810">
        <f t="shared" si="203"/>
        <v>1</v>
      </c>
      <c r="BD188" s="348">
        <f t="shared" si="204"/>
        <v>218</v>
      </c>
      <c r="BE188" s="351">
        <f t="shared" si="205"/>
        <v>0</v>
      </c>
      <c r="BF188" s="348">
        <f t="shared" si="206"/>
        <v>0</v>
      </c>
      <c r="BG188" s="351">
        <f t="shared" si="207"/>
        <v>1</v>
      </c>
      <c r="BH188" s="348">
        <f t="shared" si="208"/>
        <v>218</v>
      </c>
      <c r="BI188" s="431">
        <v>0</v>
      </c>
      <c r="BJ188" s="463">
        <v>1</v>
      </c>
      <c r="BK188" s="352">
        <f t="shared" si="221"/>
        <v>218</v>
      </c>
      <c r="BL188" s="353">
        <f t="shared" si="222"/>
        <v>0</v>
      </c>
      <c r="BM188" s="431">
        <v>4</v>
      </c>
      <c r="BN188" s="431" t="s">
        <v>290</v>
      </c>
      <c r="BO188" s="351">
        <f t="shared" si="209"/>
        <v>1</v>
      </c>
      <c r="BP188" s="348">
        <f t="shared" si="210"/>
        <v>218</v>
      </c>
      <c r="BQ188" s="353">
        <f t="shared" si="211"/>
        <v>0</v>
      </c>
      <c r="BR188" s="463">
        <v>1</v>
      </c>
      <c r="BS188" s="348">
        <f t="shared" si="212"/>
        <v>218</v>
      </c>
      <c r="BT188" s="431">
        <v>6</v>
      </c>
      <c r="BU188" s="351">
        <f t="shared" si="213"/>
        <v>1</v>
      </c>
      <c r="BV188" s="353">
        <f t="shared" si="214"/>
        <v>0</v>
      </c>
      <c r="BW188" s="451">
        <v>1</v>
      </c>
      <c r="BX188" s="473"/>
      <c r="BY188" s="475"/>
      <c r="BZ188" s="663"/>
      <c r="CA188" s="666"/>
      <c r="CB188" s="354" t="str">
        <f t="shared" si="215"/>
        <v>To be realised</v>
      </c>
      <c r="CC188" s="447">
        <v>48</v>
      </c>
      <c r="CD188" s="447">
        <v>13</v>
      </c>
      <c r="CE188" s="355">
        <f t="shared" si="216"/>
        <v>0</v>
      </c>
      <c r="CF188" s="356">
        <f t="shared" si="217"/>
        <v>1</v>
      </c>
      <c r="CG188" s="348">
        <f t="shared" si="218"/>
        <v>218</v>
      </c>
      <c r="CH188" s="641" t="str">
        <f t="shared" si="219"/>
        <v>Column BN to be completed</v>
      </c>
      <c r="CI188" s="441" t="s">
        <v>865</v>
      </c>
      <c r="CJ188" s="451"/>
      <c r="CK188" s="640">
        <f t="shared" si="223"/>
        <v>0</v>
      </c>
      <c r="CL188" s="441">
        <v>14</v>
      </c>
      <c r="CM188" s="357" t="str">
        <f t="shared" si="220"/>
        <v>Excellent coverage</v>
      </c>
      <c r="CN188" s="447">
        <v>0</v>
      </c>
      <c r="CO188" s="753" t="s">
        <v>65</v>
      </c>
      <c r="CP188" s="482"/>
    </row>
    <row r="189" spans="2:94" ht="28.5" customHeight="1" thickBot="1" x14ac:dyDescent="0.3">
      <c r="B189" s="800" t="s">
        <v>154</v>
      </c>
      <c r="C189" s="826" t="s">
        <v>596</v>
      </c>
      <c r="D189" s="826" t="s">
        <v>260</v>
      </c>
      <c r="E189" s="826" t="s">
        <v>174</v>
      </c>
      <c r="F189" s="788">
        <v>97.756789999999995</v>
      </c>
      <c r="G189" s="788">
        <v>25.106670000000001</v>
      </c>
      <c r="H189" s="788" t="s">
        <v>442</v>
      </c>
      <c r="I189" s="788" t="s">
        <v>221</v>
      </c>
      <c r="J189" s="788" t="s">
        <v>814</v>
      </c>
      <c r="K189" s="788" t="s">
        <v>800</v>
      </c>
      <c r="L189" s="788">
        <v>640</v>
      </c>
      <c r="M189" s="788">
        <v>2600</v>
      </c>
      <c r="N189" s="787">
        <v>2586</v>
      </c>
      <c r="O189" s="822">
        <v>2586</v>
      </c>
      <c r="P189" s="796" t="str">
        <f t="shared" si="187"/>
        <v>4. Big</v>
      </c>
      <c r="Q189" s="799" t="s">
        <v>330</v>
      </c>
      <c r="R189" s="798" t="s">
        <v>234</v>
      </c>
      <c r="S189" s="793" t="s">
        <v>299</v>
      </c>
      <c r="T189" s="365" t="str">
        <f t="shared" si="188"/>
        <v>Not covered</v>
      </c>
      <c r="U189" s="801" t="s">
        <v>619</v>
      </c>
      <c r="V189" s="783" t="s">
        <v>254</v>
      </c>
      <c r="W189" s="364" t="str">
        <f t="shared" si="189"/>
        <v>Not documented</v>
      </c>
      <c r="X189" s="803">
        <v>0</v>
      </c>
      <c r="Y189" s="799">
        <v>0</v>
      </c>
      <c r="Z189" s="799" t="s">
        <v>18</v>
      </c>
      <c r="AA189" s="807" t="s">
        <v>19</v>
      </c>
      <c r="AB189" s="803">
        <v>0</v>
      </c>
      <c r="AC189" s="799">
        <v>0</v>
      </c>
      <c r="AD189" s="834">
        <v>40000</v>
      </c>
      <c r="AE189" s="828">
        <v>0</v>
      </c>
      <c r="AF189" s="804">
        <v>0</v>
      </c>
      <c r="AG189" s="805"/>
      <c r="AH189" s="368">
        <f t="shared" si="190"/>
        <v>1</v>
      </c>
      <c r="AI189" s="346">
        <f t="shared" si="191"/>
        <v>2586</v>
      </c>
      <c r="AJ189" s="347">
        <f t="shared" si="192"/>
        <v>1</v>
      </c>
      <c r="AK189" s="348">
        <f t="shared" si="193"/>
        <v>2586</v>
      </c>
      <c r="AL189" s="345">
        <f t="shared" si="194"/>
        <v>1</v>
      </c>
      <c r="AM189" s="348">
        <f t="shared" si="195"/>
        <v>2586</v>
      </c>
      <c r="AN189" s="349" t="str">
        <f t="shared" si="196"/>
        <v>80-100%</v>
      </c>
      <c r="AO189" s="345">
        <f t="shared" si="197"/>
        <v>0</v>
      </c>
      <c r="AP189" s="350">
        <f t="shared" si="198"/>
        <v>0</v>
      </c>
      <c r="AQ189" s="348">
        <f t="shared" si="199"/>
        <v>6.4649999999999999</v>
      </c>
      <c r="AR189" s="348">
        <f t="shared" si="200"/>
        <v>0</v>
      </c>
      <c r="AS189" s="348">
        <f t="shared" si="201"/>
        <v>0</v>
      </c>
      <c r="AT189" s="458">
        <v>1</v>
      </c>
      <c r="AU189" s="808">
        <f t="shared" si="202"/>
        <v>2586</v>
      </c>
      <c r="AV189" s="807"/>
      <c r="AW189" s="652">
        <v>24</v>
      </c>
      <c r="AX189" s="786">
        <v>160</v>
      </c>
      <c r="AY189" s="787">
        <v>160</v>
      </c>
      <c r="AZ189" s="787">
        <v>0</v>
      </c>
      <c r="BA189" s="787"/>
      <c r="BB189" s="807" t="s">
        <v>289</v>
      </c>
      <c r="BC189" s="810">
        <f t="shared" si="203"/>
        <v>1</v>
      </c>
      <c r="BD189" s="348">
        <f t="shared" si="204"/>
        <v>2586</v>
      </c>
      <c r="BE189" s="351">
        <f t="shared" si="205"/>
        <v>1</v>
      </c>
      <c r="BF189" s="348">
        <f t="shared" si="206"/>
        <v>2586</v>
      </c>
      <c r="BG189" s="351">
        <f t="shared" si="207"/>
        <v>0</v>
      </c>
      <c r="BH189" s="348">
        <f t="shared" si="208"/>
        <v>0</v>
      </c>
      <c r="BI189" s="431">
        <v>0</v>
      </c>
      <c r="BJ189" s="463">
        <v>1</v>
      </c>
      <c r="BK189" s="352">
        <f t="shared" si="221"/>
        <v>2586</v>
      </c>
      <c r="BL189" s="353">
        <f t="shared" si="222"/>
        <v>129.30000000000001</v>
      </c>
      <c r="BM189" s="431">
        <v>12</v>
      </c>
      <c r="BN189" s="431" t="s">
        <v>290</v>
      </c>
      <c r="BO189" s="351">
        <f t="shared" si="209"/>
        <v>0.46403712296983757</v>
      </c>
      <c r="BP189" s="348">
        <f t="shared" si="210"/>
        <v>1200</v>
      </c>
      <c r="BQ189" s="353">
        <f t="shared" si="211"/>
        <v>14</v>
      </c>
      <c r="BR189" s="463">
        <v>0.46</v>
      </c>
      <c r="BS189" s="348">
        <f t="shared" si="212"/>
        <v>1189.56</v>
      </c>
      <c r="BT189" s="431">
        <v>54</v>
      </c>
      <c r="BU189" s="351">
        <f t="shared" si="213"/>
        <v>1</v>
      </c>
      <c r="BV189" s="353">
        <f t="shared" si="214"/>
        <v>0</v>
      </c>
      <c r="BW189" s="451">
        <v>1</v>
      </c>
      <c r="BX189" s="473" t="s">
        <v>863</v>
      </c>
      <c r="BY189" s="475">
        <v>42053</v>
      </c>
      <c r="BZ189" s="663" t="s">
        <v>819</v>
      </c>
      <c r="CA189" s="666"/>
      <c r="CB189" s="354" t="str">
        <f t="shared" si="215"/>
        <v>To be realised</v>
      </c>
      <c r="CC189" s="447">
        <v>646</v>
      </c>
      <c r="CD189" s="447">
        <v>4</v>
      </c>
      <c r="CE189" s="355">
        <f t="shared" si="216"/>
        <v>640</v>
      </c>
      <c r="CF189" s="356">
        <f t="shared" si="217"/>
        <v>0</v>
      </c>
      <c r="CG189" s="348">
        <f t="shared" si="218"/>
        <v>0</v>
      </c>
      <c r="CH189" s="641">
        <f t="shared" si="219"/>
        <v>8</v>
      </c>
      <c r="CI189" s="441" t="s">
        <v>865</v>
      </c>
      <c r="CJ189" s="453">
        <v>0</v>
      </c>
      <c r="CK189" s="640">
        <f t="shared" si="223"/>
        <v>0</v>
      </c>
      <c r="CL189" s="441">
        <v>15</v>
      </c>
      <c r="CM189" s="357" t="str">
        <f t="shared" si="220"/>
        <v>Excellent coverage</v>
      </c>
      <c r="CN189" s="447">
        <v>0</v>
      </c>
      <c r="CO189" s="753" t="s">
        <v>292</v>
      </c>
      <c r="CP189" s="482"/>
    </row>
  </sheetData>
  <sheetProtection formatCells="0" formatRows="0" insertRows="0" sort="0" autoFilter="0" pivotTables="0"/>
  <autoFilter ref="B4:CP4"/>
  <sortState ref="B5:DY191">
    <sortCondition ref="B5:B191"/>
    <sortCondition ref="E5:E191"/>
  </sortState>
  <dataConsolidate/>
  <mergeCells count="13">
    <mergeCell ref="BY3:CH3"/>
    <mergeCell ref="CL3:CO3"/>
    <mergeCell ref="F2:O2"/>
    <mergeCell ref="F3:I3"/>
    <mergeCell ref="S3:V3"/>
    <mergeCell ref="X3:AA3"/>
    <mergeCell ref="AB3:AD3"/>
    <mergeCell ref="AW3:BW3"/>
    <mergeCell ref="AH3:AV3"/>
    <mergeCell ref="X2:AV2"/>
    <mergeCell ref="AW2:BX2"/>
    <mergeCell ref="CI3:CK3"/>
    <mergeCell ref="AE3:AG3"/>
  </mergeCells>
  <conditionalFormatting sqref="BJ5:BJ189">
    <cfRule type="cellIs" dxfId="0" priority="1" operator="lessThan">
      <formula>$BC5</formula>
    </cfRule>
  </conditionalFormatting>
  <dataValidations count="17">
    <dataValidation type="whole" allowBlank="1" showInputMessage="1" showErrorMessage="1" sqref="AW65462:BA65468 LB65462:LD65468 UX65462:UZ65468 AET65462:AEV65468 AOP65462:AOR65468 AYL65462:AYN65468 BIH65462:BIJ65468 BSD65462:BSF65468 CBZ65462:CCB65468 CLV65462:CLX65468 CVR65462:CVT65468 DFN65462:DFP65468 DPJ65462:DPL65468 DZF65462:DZH65468 EJB65462:EJD65468 ESX65462:ESZ65468 FCT65462:FCV65468 FMP65462:FMR65468 FWL65462:FWN65468 GGH65462:GGJ65468 GQD65462:GQF65468 GZZ65462:HAB65468 HJV65462:HJX65468 HTR65462:HTT65468 IDN65462:IDP65468 INJ65462:INL65468 IXF65462:IXH65468 JHB65462:JHD65468 JQX65462:JQZ65468 KAT65462:KAV65468 KKP65462:KKR65468 KUL65462:KUN65468 LEH65462:LEJ65468 LOD65462:LOF65468 LXZ65462:LYB65468 MHV65462:MHX65468 MRR65462:MRT65468 NBN65462:NBP65468 NLJ65462:NLL65468 NVF65462:NVH65468 OFB65462:OFD65468 OOX65462:OOZ65468 OYT65462:OYV65468 PIP65462:PIR65468 PSL65462:PSN65468 QCH65462:QCJ65468 QMD65462:QMF65468 QVZ65462:QWB65468 RFV65462:RFX65468 RPR65462:RPT65468 RZN65462:RZP65468 SJJ65462:SJL65468 STF65462:STH65468 TDB65462:TDD65468 TMX65462:TMZ65468 TWT65462:TWV65468 UGP65462:UGR65468 UQL65462:UQN65468 VAH65462:VAJ65468 VKD65462:VKF65468 VTZ65462:VUB65468 WDV65462:WDX65468 WNR65462:WNT65468 WXN65462:WXP65468 AW130998:BA131004 LB130998:LD131004 UX130998:UZ131004 AET130998:AEV131004 AOP130998:AOR131004 AYL130998:AYN131004 BIH130998:BIJ131004 BSD130998:BSF131004 CBZ130998:CCB131004 CLV130998:CLX131004 CVR130998:CVT131004 DFN130998:DFP131004 DPJ130998:DPL131004 DZF130998:DZH131004 EJB130998:EJD131004 ESX130998:ESZ131004 FCT130998:FCV131004 FMP130998:FMR131004 FWL130998:FWN131004 GGH130998:GGJ131004 GQD130998:GQF131004 GZZ130998:HAB131004 HJV130998:HJX131004 HTR130998:HTT131004 IDN130998:IDP131004 INJ130998:INL131004 IXF130998:IXH131004 JHB130998:JHD131004 JQX130998:JQZ131004 KAT130998:KAV131004 KKP130998:KKR131004 KUL130998:KUN131004 LEH130998:LEJ131004 LOD130998:LOF131004 LXZ130998:LYB131004 MHV130998:MHX131004 MRR130998:MRT131004 NBN130998:NBP131004 NLJ130998:NLL131004 NVF130998:NVH131004 OFB130998:OFD131004 OOX130998:OOZ131004 OYT130998:OYV131004 PIP130998:PIR131004 PSL130998:PSN131004 QCH130998:QCJ131004 QMD130998:QMF131004 QVZ130998:QWB131004 RFV130998:RFX131004 RPR130998:RPT131004 RZN130998:RZP131004 SJJ130998:SJL131004 STF130998:STH131004 TDB130998:TDD131004 TMX130998:TMZ131004 TWT130998:TWV131004 UGP130998:UGR131004 UQL130998:UQN131004 VAH130998:VAJ131004 VKD130998:VKF131004 VTZ130998:VUB131004 WDV130998:WDX131004 WNR130998:WNT131004 WXN130998:WXP131004 AW196534:BA196540 LB196534:LD196540 UX196534:UZ196540 AET196534:AEV196540 AOP196534:AOR196540 AYL196534:AYN196540 BIH196534:BIJ196540 BSD196534:BSF196540 CBZ196534:CCB196540 CLV196534:CLX196540 CVR196534:CVT196540 DFN196534:DFP196540 DPJ196534:DPL196540 DZF196534:DZH196540 EJB196534:EJD196540 ESX196534:ESZ196540 FCT196534:FCV196540 FMP196534:FMR196540 FWL196534:FWN196540 GGH196534:GGJ196540 GQD196534:GQF196540 GZZ196534:HAB196540 HJV196534:HJX196540 HTR196534:HTT196540 IDN196534:IDP196540 INJ196534:INL196540 IXF196534:IXH196540 JHB196534:JHD196540 JQX196534:JQZ196540 KAT196534:KAV196540 KKP196534:KKR196540 KUL196534:KUN196540 LEH196534:LEJ196540 LOD196534:LOF196540 LXZ196534:LYB196540 MHV196534:MHX196540 MRR196534:MRT196540 NBN196534:NBP196540 NLJ196534:NLL196540 NVF196534:NVH196540 OFB196534:OFD196540 OOX196534:OOZ196540 OYT196534:OYV196540 PIP196534:PIR196540 PSL196534:PSN196540 QCH196534:QCJ196540 QMD196534:QMF196540 QVZ196534:QWB196540 RFV196534:RFX196540 RPR196534:RPT196540 RZN196534:RZP196540 SJJ196534:SJL196540 STF196534:STH196540 TDB196534:TDD196540 TMX196534:TMZ196540 TWT196534:TWV196540 UGP196534:UGR196540 UQL196534:UQN196540 VAH196534:VAJ196540 VKD196534:VKF196540 VTZ196534:VUB196540 WDV196534:WDX196540 WNR196534:WNT196540 WXN196534:WXP196540 AW262070:BA262076 LB262070:LD262076 UX262070:UZ262076 AET262070:AEV262076 AOP262070:AOR262076 AYL262070:AYN262076 BIH262070:BIJ262076 BSD262070:BSF262076 CBZ262070:CCB262076 CLV262070:CLX262076 CVR262070:CVT262076 DFN262070:DFP262076 DPJ262070:DPL262076 DZF262070:DZH262076 EJB262070:EJD262076 ESX262070:ESZ262076 FCT262070:FCV262076 FMP262070:FMR262076 FWL262070:FWN262076 GGH262070:GGJ262076 GQD262070:GQF262076 GZZ262070:HAB262076 HJV262070:HJX262076 HTR262070:HTT262076 IDN262070:IDP262076 INJ262070:INL262076 IXF262070:IXH262076 JHB262070:JHD262076 JQX262070:JQZ262076 KAT262070:KAV262076 KKP262070:KKR262076 KUL262070:KUN262076 LEH262070:LEJ262076 LOD262070:LOF262076 LXZ262070:LYB262076 MHV262070:MHX262076 MRR262070:MRT262076 NBN262070:NBP262076 NLJ262070:NLL262076 NVF262070:NVH262076 OFB262070:OFD262076 OOX262070:OOZ262076 OYT262070:OYV262076 PIP262070:PIR262076 PSL262070:PSN262076 QCH262070:QCJ262076 QMD262070:QMF262076 QVZ262070:QWB262076 RFV262070:RFX262076 RPR262070:RPT262076 RZN262070:RZP262076 SJJ262070:SJL262076 STF262070:STH262076 TDB262070:TDD262076 TMX262070:TMZ262076 TWT262070:TWV262076 UGP262070:UGR262076 UQL262070:UQN262076 VAH262070:VAJ262076 VKD262070:VKF262076 VTZ262070:VUB262076 WDV262070:WDX262076 WNR262070:WNT262076 WXN262070:WXP262076 AW327606:BA327612 LB327606:LD327612 UX327606:UZ327612 AET327606:AEV327612 AOP327606:AOR327612 AYL327606:AYN327612 BIH327606:BIJ327612 BSD327606:BSF327612 CBZ327606:CCB327612 CLV327606:CLX327612 CVR327606:CVT327612 DFN327606:DFP327612 DPJ327606:DPL327612 DZF327606:DZH327612 EJB327606:EJD327612 ESX327606:ESZ327612 FCT327606:FCV327612 FMP327606:FMR327612 FWL327606:FWN327612 GGH327606:GGJ327612 GQD327606:GQF327612 GZZ327606:HAB327612 HJV327606:HJX327612 HTR327606:HTT327612 IDN327606:IDP327612 INJ327606:INL327612 IXF327606:IXH327612 JHB327606:JHD327612 JQX327606:JQZ327612 KAT327606:KAV327612 KKP327606:KKR327612 KUL327606:KUN327612 LEH327606:LEJ327612 LOD327606:LOF327612 LXZ327606:LYB327612 MHV327606:MHX327612 MRR327606:MRT327612 NBN327606:NBP327612 NLJ327606:NLL327612 NVF327606:NVH327612 OFB327606:OFD327612 OOX327606:OOZ327612 OYT327606:OYV327612 PIP327606:PIR327612 PSL327606:PSN327612 QCH327606:QCJ327612 QMD327606:QMF327612 QVZ327606:QWB327612 RFV327606:RFX327612 RPR327606:RPT327612 RZN327606:RZP327612 SJJ327606:SJL327612 STF327606:STH327612 TDB327606:TDD327612 TMX327606:TMZ327612 TWT327606:TWV327612 UGP327606:UGR327612 UQL327606:UQN327612 VAH327606:VAJ327612 VKD327606:VKF327612 VTZ327606:VUB327612 WDV327606:WDX327612 WNR327606:WNT327612 WXN327606:WXP327612 AW393142:BA393148 LB393142:LD393148 UX393142:UZ393148 AET393142:AEV393148 AOP393142:AOR393148 AYL393142:AYN393148 BIH393142:BIJ393148 BSD393142:BSF393148 CBZ393142:CCB393148 CLV393142:CLX393148 CVR393142:CVT393148 DFN393142:DFP393148 DPJ393142:DPL393148 DZF393142:DZH393148 EJB393142:EJD393148 ESX393142:ESZ393148 FCT393142:FCV393148 FMP393142:FMR393148 FWL393142:FWN393148 GGH393142:GGJ393148 GQD393142:GQF393148 GZZ393142:HAB393148 HJV393142:HJX393148 HTR393142:HTT393148 IDN393142:IDP393148 INJ393142:INL393148 IXF393142:IXH393148 JHB393142:JHD393148 JQX393142:JQZ393148 KAT393142:KAV393148 KKP393142:KKR393148 KUL393142:KUN393148 LEH393142:LEJ393148 LOD393142:LOF393148 LXZ393142:LYB393148 MHV393142:MHX393148 MRR393142:MRT393148 NBN393142:NBP393148 NLJ393142:NLL393148 NVF393142:NVH393148 OFB393142:OFD393148 OOX393142:OOZ393148 OYT393142:OYV393148 PIP393142:PIR393148 PSL393142:PSN393148 QCH393142:QCJ393148 QMD393142:QMF393148 QVZ393142:QWB393148 RFV393142:RFX393148 RPR393142:RPT393148 RZN393142:RZP393148 SJJ393142:SJL393148 STF393142:STH393148 TDB393142:TDD393148 TMX393142:TMZ393148 TWT393142:TWV393148 UGP393142:UGR393148 UQL393142:UQN393148 VAH393142:VAJ393148 VKD393142:VKF393148 VTZ393142:VUB393148 WDV393142:WDX393148 WNR393142:WNT393148 WXN393142:WXP393148 AW458678:BA458684 LB458678:LD458684 UX458678:UZ458684 AET458678:AEV458684 AOP458678:AOR458684 AYL458678:AYN458684 BIH458678:BIJ458684 BSD458678:BSF458684 CBZ458678:CCB458684 CLV458678:CLX458684 CVR458678:CVT458684 DFN458678:DFP458684 DPJ458678:DPL458684 DZF458678:DZH458684 EJB458678:EJD458684 ESX458678:ESZ458684 FCT458678:FCV458684 FMP458678:FMR458684 FWL458678:FWN458684 GGH458678:GGJ458684 GQD458678:GQF458684 GZZ458678:HAB458684 HJV458678:HJX458684 HTR458678:HTT458684 IDN458678:IDP458684 INJ458678:INL458684 IXF458678:IXH458684 JHB458678:JHD458684 JQX458678:JQZ458684 KAT458678:KAV458684 KKP458678:KKR458684 KUL458678:KUN458684 LEH458678:LEJ458684 LOD458678:LOF458684 LXZ458678:LYB458684 MHV458678:MHX458684 MRR458678:MRT458684 NBN458678:NBP458684 NLJ458678:NLL458684 NVF458678:NVH458684 OFB458678:OFD458684 OOX458678:OOZ458684 OYT458678:OYV458684 PIP458678:PIR458684 PSL458678:PSN458684 QCH458678:QCJ458684 QMD458678:QMF458684 QVZ458678:QWB458684 RFV458678:RFX458684 RPR458678:RPT458684 RZN458678:RZP458684 SJJ458678:SJL458684 STF458678:STH458684 TDB458678:TDD458684 TMX458678:TMZ458684 TWT458678:TWV458684 UGP458678:UGR458684 UQL458678:UQN458684 VAH458678:VAJ458684 VKD458678:VKF458684 VTZ458678:VUB458684 WDV458678:WDX458684 WNR458678:WNT458684 WXN458678:WXP458684 AW524214:BA524220 LB524214:LD524220 UX524214:UZ524220 AET524214:AEV524220 AOP524214:AOR524220 AYL524214:AYN524220 BIH524214:BIJ524220 BSD524214:BSF524220 CBZ524214:CCB524220 CLV524214:CLX524220 CVR524214:CVT524220 DFN524214:DFP524220 DPJ524214:DPL524220 DZF524214:DZH524220 EJB524214:EJD524220 ESX524214:ESZ524220 FCT524214:FCV524220 FMP524214:FMR524220 FWL524214:FWN524220 GGH524214:GGJ524220 GQD524214:GQF524220 GZZ524214:HAB524220 HJV524214:HJX524220 HTR524214:HTT524220 IDN524214:IDP524220 INJ524214:INL524220 IXF524214:IXH524220 JHB524214:JHD524220 JQX524214:JQZ524220 KAT524214:KAV524220 KKP524214:KKR524220 KUL524214:KUN524220 LEH524214:LEJ524220 LOD524214:LOF524220 LXZ524214:LYB524220 MHV524214:MHX524220 MRR524214:MRT524220 NBN524214:NBP524220 NLJ524214:NLL524220 NVF524214:NVH524220 OFB524214:OFD524220 OOX524214:OOZ524220 OYT524214:OYV524220 PIP524214:PIR524220 PSL524214:PSN524220 QCH524214:QCJ524220 QMD524214:QMF524220 QVZ524214:QWB524220 RFV524214:RFX524220 RPR524214:RPT524220 RZN524214:RZP524220 SJJ524214:SJL524220 STF524214:STH524220 TDB524214:TDD524220 TMX524214:TMZ524220 TWT524214:TWV524220 UGP524214:UGR524220 UQL524214:UQN524220 VAH524214:VAJ524220 VKD524214:VKF524220 VTZ524214:VUB524220 WDV524214:WDX524220 WNR524214:WNT524220 WXN524214:WXP524220 AW589750:BA589756 LB589750:LD589756 UX589750:UZ589756 AET589750:AEV589756 AOP589750:AOR589756 AYL589750:AYN589756 BIH589750:BIJ589756 BSD589750:BSF589756 CBZ589750:CCB589756 CLV589750:CLX589756 CVR589750:CVT589756 DFN589750:DFP589756 DPJ589750:DPL589756 DZF589750:DZH589756 EJB589750:EJD589756 ESX589750:ESZ589756 FCT589750:FCV589756 FMP589750:FMR589756 FWL589750:FWN589756 GGH589750:GGJ589756 GQD589750:GQF589756 GZZ589750:HAB589756 HJV589750:HJX589756 HTR589750:HTT589756 IDN589750:IDP589756 INJ589750:INL589756 IXF589750:IXH589756 JHB589750:JHD589756 JQX589750:JQZ589756 KAT589750:KAV589756 KKP589750:KKR589756 KUL589750:KUN589756 LEH589750:LEJ589756 LOD589750:LOF589756 LXZ589750:LYB589756 MHV589750:MHX589756 MRR589750:MRT589756 NBN589750:NBP589756 NLJ589750:NLL589756 NVF589750:NVH589756 OFB589750:OFD589756 OOX589750:OOZ589756 OYT589750:OYV589756 PIP589750:PIR589756 PSL589750:PSN589756 QCH589750:QCJ589756 QMD589750:QMF589756 QVZ589750:QWB589756 RFV589750:RFX589756 RPR589750:RPT589756 RZN589750:RZP589756 SJJ589750:SJL589756 STF589750:STH589756 TDB589750:TDD589756 TMX589750:TMZ589756 TWT589750:TWV589756 UGP589750:UGR589756 UQL589750:UQN589756 VAH589750:VAJ589756 VKD589750:VKF589756 VTZ589750:VUB589756 WDV589750:WDX589756 WNR589750:WNT589756 WXN589750:WXP589756 AW655286:BA655292 LB655286:LD655292 UX655286:UZ655292 AET655286:AEV655292 AOP655286:AOR655292 AYL655286:AYN655292 BIH655286:BIJ655292 BSD655286:BSF655292 CBZ655286:CCB655292 CLV655286:CLX655292 CVR655286:CVT655292 DFN655286:DFP655292 DPJ655286:DPL655292 DZF655286:DZH655292 EJB655286:EJD655292 ESX655286:ESZ655292 FCT655286:FCV655292 FMP655286:FMR655292 FWL655286:FWN655292 GGH655286:GGJ655292 GQD655286:GQF655292 GZZ655286:HAB655292 HJV655286:HJX655292 HTR655286:HTT655292 IDN655286:IDP655292 INJ655286:INL655292 IXF655286:IXH655292 JHB655286:JHD655292 JQX655286:JQZ655292 KAT655286:KAV655292 KKP655286:KKR655292 KUL655286:KUN655292 LEH655286:LEJ655292 LOD655286:LOF655292 LXZ655286:LYB655292 MHV655286:MHX655292 MRR655286:MRT655292 NBN655286:NBP655292 NLJ655286:NLL655292 NVF655286:NVH655292 OFB655286:OFD655292 OOX655286:OOZ655292 OYT655286:OYV655292 PIP655286:PIR655292 PSL655286:PSN655292 QCH655286:QCJ655292 QMD655286:QMF655292 QVZ655286:QWB655292 RFV655286:RFX655292 RPR655286:RPT655292 RZN655286:RZP655292 SJJ655286:SJL655292 STF655286:STH655292 TDB655286:TDD655292 TMX655286:TMZ655292 TWT655286:TWV655292 UGP655286:UGR655292 UQL655286:UQN655292 VAH655286:VAJ655292 VKD655286:VKF655292 VTZ655286:VUB655292 WDV655286:WDX655292 WNR655286:WNT655292 WXN655286:WXP655292 AW720822:BA720828 LB720822:LD720828 UX720822:UZ720828 AET720822:AEV720828 AOP720822:AOR720828 AYL720822:AYN720828 BIH720822:BIJ720828 BSD720822:BSF720828 CBZ720822:CCB720828 CLV720822:CLX720828 CVR720822:CVT720828 DFN720822:DFP720828 DPJ720822:DPL720828 DZF720822:DZH720828 EJB720822:EJD720828 ESX720822:ESZ720828 FCT720822:FCV720828 FMP720822:FMR720828 FWL720822:FWN720828 GGH720822:GGJ720828 GQD720822:GQF720828 GZZ720822:HAB720828 HJV720822:HJX720828 HTR720822:HTT720828 IDN720822:IDP720828 INJ720822:INL720828 IXF720822:IXH720828 JHB720822:JHD720828 JQX720822:JQZ720828 KAT720822:KAV720828 KKP720822:KKR720828 KUL720822:KUN720828 LEH720822:LEJ720828 LOD720822:LOF720828 LXZ720822:LYB720828 MHV720822:MHX720828 MRR720822:MRT720828 NBN720822:NBP720828 NLJ720822:NLL720828 NVF720822:NVH720828 OFB720822:OFD720828 OOX720822:OOZ720828 OYT720822:OYV720828 PIP720822:PIR720828 PSL720822:PSN720828 QCH720822:QCJ720828 QMD720822:QMF720828 QVZ720822:QWB720828 RFV720822:RFX720828 RPR720822:RPT720828 RZN720822:RZP720828 SJJ720822:SJL720828 STF720822:STH720828 TDB720822:TDD720828 TMX720822:TMZ720828 TWT720822:TWV720828 UGP720822:UGR720828 UQL720822:UQN720828 VAH720822:VAJ720828 VKD720822:VKF720828 VTZ720822:VUB720828 WDV720822:WDX720828 WNR720822:WNT720828 WXN720822:WXP720828 AW786358:BA786364 LB786358:LD786364 UX786358:UZ786364 AET786358:AEV786364 AOP786358:AOR786364 AYL786358:AYN786364 BIH786358:BIJ786364 BSD786358:BSF786364 CBZ786358:CCB786364 CLV786358:CLX786364 CVR786358:CVT786364 DFN786358:DFP786364 DPJ786358:DPL786364 DZF786358:DZH786364 EJB786358:EJD786364 ESX786358:ESZ786364 FCT786358:FCV786364 FMP786358:FMR786364 FWL786358:FWN786364 GGH786358:GGJ786364 GQD786358:GQF786364 GZZ786358:HAB786364 HJV786358:HJX786364 HTR786358:HTT786364 IDN786358:IDP786364 INJ786358:INL786364 IXF786358:IXH786364 JHB786358:JHD786364 JQX786358:JQZ786364 KAT786358:KAV786364 KKP786358:KKR786364 KUL786358:KUN786364 LEH786358:LEJ786364 LOD786358:LOF786364 LXZ786358:LYB786364 MHV786358:MHX786364 MRR786358:MRT786364 NBN786358:NBP786364 NLJ786358:NLL786364 NVF786358:NVH786364 OFB786358:OFD786364 OOX786358:OOZ786364 OYT786358:OYV786364 PIP786358:PIR786364 PSL786358:PSN786364 QCH786358:QCJ786364 QMD786358:QMF786364 QVZ786358:QWB786364 RFV786358:RFX786364 RPR786358:RPT786364 RZN786358:RZP786364 SJJ786358:SJL786364 STF786358:STH786364 TDB786358:TDD786364 TMX786358:TMZ786364 TWT786358:TWV786364 UGP786358:UGR786364 UQL786358:UQN786364 VAH786358:VAJ786364 VKD786358:VKF786364 VTZ786358:VUB786364 WDV786358:WDX786364 WNR786358:WNT786364 WXN786358:WXP786364 AW851894:BA851900 LB851894:LD851900 UX851894:UZ851900 AET851894:AEV851900 AOP851894:AOR851900 AYL851894:AYN851900 BIH851894:BIJ851900 BSD851894:BSF851900 CBZ851894:CCB851900 CLV851894:CLX851900 CVR851894:CVT851900 DFN851894:DFP851900 DPJ851894:DPL851900 DZF851894:DZH851900 EJB851894:EJD851900 ESX851894:ESZ851900 FCT851894:FCV851900 FMP851894:FMR851900 FWL851894:FWN851900 GGH851894:GGJ851900 GQD851894:GQF851900 GZZ851894:HAB851900 HJV851894:HJX851900 HTR851894:HTT851900 IDN851894:IDP851900 INJ851894:INL851900 IXF851894:IXH851900 JHB851894:JHD851900 JQX851894:JQZ851900 KAT851894:KAV851900 KKP851894:KKR851900 KUL851894:KUN851900 LEH851894:LEJ851900 LOD851894:LOF851900 LXZ851894:LYB851900 MHV851894:MHX851900 MRR851894:MRT851900 NBN851894:NBP851900 NLJ851894:NLL851900 NVF851894:NVH851900 OFB851894:OFD851900 OOX851894:OOZ851900 OYT851894:OYV851900 PIP851894:PIR851900 PSL851894:PSN851900 QCH851894:QCJ851900 QMD851894:QMF851900 QVZ851894:QWB851900 RFV851894:RFX851900 RPR851894:RPT851900 RZN851894:RZP851900 SJJ851894:SJL851900 STF851894:STH851900 TDB851894:TDD851900 TMX851894:TMZ851900 TWT851894:TWV851900 UGP851894:UGR851900 UQL851894:UQN851900 VAH851894:VAJ851900 VKD851894:VKF851900 VTZ851894:VUB851900 WDV851894:WDX851900 WNR851894:WNT851900 WXN851894:WXP851900 AW917430:BA917436 LB917430:LD917436 UX917430:UZ917436 AET917430:AEV917436 AOP917430:AOR917436 AYL917430:AYN917436 BIH917430:BIJ917436 BSD917430:BSF917436 CBZ917430:CCB917436 CLV917430:CLX917436 CVR917430:CVT917436 DFN917430:DFP917436 DPJ917430:DPL917436 DZF917430:DZH917436 EJB917430:EJD917436 ESX917430:ESZ917436 FCT917430:FCV917436 FMP917430:FMR917436 FWL917430:FWN917436 GGH917430:GGJ917436 GQD917430:GQF917436 GZZ917430:HAB917436 HJV917430:HJX917436 HTR917430:HTT917436 IDN917430:IDP917436 INJ917430:INL917436 IXF917430:IXH917436 JHB917430:JHD917436 JQX917430:JQZ917436 KAT917430:KAV917436 KKP917430:KKR917436 KUL917430:KUN917436 LEH917430:LEJ917436 LOD917430:LOF917436 LXZ917430:LYB917436 MHV917430:MHX917436 MRR917430:MRT917436 NBN917430:NBP917436 NLJ917430:NLL917436 NVF917430:NVH917436 OFB917430:OFD917436 OOX917430:OOZ917436 OYT917430:OYV917436 PIP917430:PIR917436 PSL917430:PSN917436 QCH917430:QCJ917436 QMD917430:QMF917436 QVZ917430:QWB917436 RFV917430:RFX917436 RPR917430:RPT917436 RZN917430:RZP917436 SJJ917430:SJL917436 STF917430:STH917436 TDB917430:TDD917436 TMX917430:TMZ917436 TWT917430:TWV917436 UGP917430:UGR917436 UQL917430:UQN917436 VAH917430:VAJ917436 VKD917430:VKF917436 VTZ917430:VUB917436 WDV917430:WDX917436 WNR917430:WNT917436 WXN917430:WXP917436 AW982966:BA982972 LB982966:LD982972 UX982966:UZ982972 AET982966:AEV982972 AOP982966:AOR982972 AYL982966:AYN982972 BIH982966:BIJ982972 BSD982966:BSF982972 CBZ982966:CCB982972 CLV982966:CLX982972 CVR982966:CVT982972 DFN982966:DFP982972 DPJ982966:DPL982972 DZF982966:DZH982972 EJB982966:EJD982972 ESX982966:ESZ982972 FCT982966:FCV982972 FMP982966:FMR982972 FWL982966:FWN982972 GGH982966:GGJ982972 GQD982966:GQF982972 GZZ982966:HAB982972 HJV982966:HJX982972 HTR982966:HTT982972 IDN982966:IDP982972 INJ982966:INL982972 IXF982966:IXH982972 JHB982966:JHD982972 JQX982966:JQZ982972 KAT982966:KAV982972 KKP982966:KKR982972 KUL982966:KUN982972 LEH982966:LEJ982972 LOD982966:LOF982972 LXZ982966:LYB982972 MHV982966:MHX982972 MRR982966:MRT982972 NBN982966:NBP982972 NLJ982966:NLL982972 NVF982966:NVH982972 OFB982966:OFD982972 OOX982966:OOZ982972 OYT982966:OYV982972 PIP982966:PIR982972 PSL982966:PSN982972 QCH982966:QCJ982972 QMD982966:QMF982972 QVZ982966:QWB982972 RFV982966:RFX982972 RPR982966:RPT982972 RZN982966:RZP982972 SJJ982966:SJL982972 STF982966:STH982972 TDB982966:TDD982972 TMX982966:TMZ982972 TWT982966:TWV982972 UGP982966:UGR982972 UQL982966:UQN982972 VAH982966:VAJ982972 VKD982966:VKF982972 VTZ982966:VUB982972 WDV982966:WDX982972 WNR982966:WNT982972 WXN982966:WXP982972 AW65444:BA65445 LB65444:LD65445 UX65444:UZ65445 AET65444:AEV65445 AOP65444:AOR65445 AYL65444:AYN65445 BIH65444:BIJ65445 BSD65444:BSF65445 CBZ65444:CCB65445 CLV65444:CLX65445 CVR65444:CVT65445 DFN65444:DFP65445 DPJ65444:DPL65445 DZF65444:DZH65445 EJB65444:EJD65445 ESX65444:ESZ65445 FCT65444:FCV65445 FMP65444:FMR65445 FWL65444:FWN65445 GGH65444:GGJ65445 GQD65444:GQF65445 GZZ65444:HAB65445 HJV65444:HJX65445 HTR65444:HTT65445 IDN65444:IDP65445 INJ65444:INL65445 IXF65444:IXH65445 JHB65444:JHD65445 JQX65444:JQZ65445 KAT65444:KAV65445 KKP65444:KKR65445 KUL65444:KUN65445 LEH65444:LEJ65445 LOD65444:LOF65445 LXZ65444:LYB65445 MHV65444:MHX65445 MRR65444:MRT65445 NBN65444:NBP65445 NLJ65444:NLL65445 NVF65444:NVH65445 OFB65444:OFD65445 OOX65444:OOZ65445 OYT65444:OYV65445 PIP65444:PIR65445 PSL65444:PSN65445 QCH65444:QCJ65445 QMD65444:QMF65445 QVZ65444:QWB65445 RFV65444:RFX65445 RPR65444:RPT65445 RZN65444:RZP65445 SJJ65444:SJL65445 STF65444:STH65445 TDB65444:TDD65445 TMX65444:TMZ65445 TWT65444:TWV65445 UGP65444:UGR65445 UQL65444:UQN65445 VAH65444:VAJ65445 VKD65444:VKF65445 VTZ65444:VUB65445 WDV65444:WDX65445 WNR65444:WNT65445 WXN65444:WXP65445 AW130980:BA130981 LB130980:LD130981 UX130980:UZ130981 AET130980:AEV130981 AOP130980:AOR130981 AYL130980:AYN130981 BIH130980:BIJ130981 BSD130980:BSF130981 CBZ130980:CCB130981 CLV130980:CLX130981 CVR130980:CVT130981 DFN130980:DFP130981 DPJ130980:DPL130981 DZF130980:DZH130981 EJB130980:EJD130981 ESX130980:ESZ130981 FCT130980:FCV130981 FMP130980:FMR130981 FWL130980:FWN130981 GGH130980:GGJ130981 GQD130980:GQF130981 GZZ130980:HAB130981 HJV130980:HJX130981 HTR130980:HTT130981 IDN130980:IDP130981 INJ130980:INL130981 IXF130980:IXH130981 JHB130980:JHD130981 JQX130980:JQZ130981 KAT130980:KAV130981 KKP130980:KKR130981 KUL130980:KUN130981 LEH130980:LEJ130981 LOD130980:LOF130981 LXZ130980:LYB130981 MHV130980:MHX130981 MRR130980:MRT130981 NBN130980:NBP130981 NLJ130980:NLL130981 NVF130980:NVH130981 OFB130980:OFD130981 OOX130980:OOZ130981 OYT130980:OYV130981 PIP130980:PIR130981 PSL130980:PSN130981 QCH130980:QCJ130981 QMD130980:QMF130981 QVZ130980:QWB130981 RFV130980:RFX130981 RPR130980:RPT130981 RZN130980:RZP130981 SJJ130980:SJL130981 STF130980:STH130981 TDB130980:TDD130981 TMX130980:TMZ130981 TWT130980:TWV130981 UGP130980:UGR130981 UQL130980:UQN130981 VAH130980:VAJ130981 VKD130980:VKF130981 VTZ130980:VUB130981 WDV130980:WDX130981 WNR130980:WNT130981 WXN130980:WXP130981 AW196516:BA196517 LB196516:LD196517 UX196516:UZ196517 AET196516:AEV196517 AOP196516:AOR196517 AYL196516:AYN196517 BIH196516:BIJ196517 BSD196516:BSF196517 CBZ196516:CCB196517 CLV196516:CLX196517 CVR196516:CVT196517 DFN196516:DFP196517 DPJ196516:DPL196517 DZF196516:DZH196517 EJB196516:EJD196517 ESX196516:ESZ196517 FCT196516:FCV196517 FMP196516:FMR196517 FWL196516:FWN196517 GGH196516:GGJ196517 GQD196516:GQF196517 GZZ196516:HAB196517 HJV196516:HJX196517 HTR196516:HTT196517 IDN196516:IDP196517 INJ196516:INL196517 IXF196516:IXH196517 JHB196516:JHD196517 JQX196516:JQZ196517 KAT196516:KAV196517 KKP196516:KKR196517 KUL196516:KUN196517 LEH196516:LEJ196517 LOD196516:LOF196517 LXZ196516:LYB196517 MHV196516:MHX196517 MRR196516:MRT196517 NBN196516:NBP196517 NLJ196516:NLL196517 NVF196516:NVH196517 OFB196516:OFD196517 OOX196516:OOZ196517 OYT196516:OYV196517 PIP196516:PIR196517 PSL196516:PSN196517 QCH196516:QCJ196517 QMD196516:QMF196517 QVZ196516:QWB196517 RFV196516:RFX196517 RPR196516:RPT196517 RZN196516:RZP196517 SJJ196516:SJL196517 STF196516:STH196517 TDB196516:TDD196517 TMX196516:TMZ196517 TWT196516:TWV196517 UGP196516:UGR196517 UQL196516:UQN196517 VAH196516:VAJ196517 VKD196516:VKF196517 VTZ196516:VUB196517 WDV196516:WDX196517 WNR196516:WNT196517 WXN196516:WXP196517 AW262052:BA262053 LB262052:LD262053 UX262052:UZ262053 AET262052:AEV262053 AOP262052:AOR262053 AYL262052:AYN262053 BIH262052:BIJ262053 BSD262052:BSF262053 CBZ262052:CCB262053 CLV262052:CLX262053 CVR262052:CVT262053 DFN262052:DFP262053 DPJ262052:DPL262053 DZF262052:DZH262053 EJB262052:EJD262053 ESX262052:ESZ262053 FCT262052:FCV262053 FMP262052:FMR262053 FWL262052:FWN262053 GGH262052:GGJ262053 GQD262052:GQF262053 GZZ262052:HAB262053 HJV262052:HJX262053 HTR262052:HTT262053 IDN262052:IDP262053 INJ262052:INL262053 IXF262052:IXH262053 JHB262052:JHD262053 JQX262052:JQZ262053 KAT262052:KAV262053 KKP262052:KKR262053 KUL262052:KUN262053 LEH262052:LEJ262053 LOD262052:LOF262053 LXZ262052:LYB262053 MHV262052:MHX262053 MRR262052:MRT262053 NBN262052:NBP262053 NLJ262052:NLL262053 NVF262052:NVH262053 OFB262052:OFD262053 OOX262052:OOZ262053 OYT262052:OYV262053 PIP262052:PIR262053 PSL262052:PSN262053 QCH262052:QCJ262053 QMD262052:QMF262053 QVZ262052:QWB262053 RFV262052:RFX262053 RPR262052:RPT262053 RZN262052:RZP262053 SJJ262052:SJL262053 STF262052:STH262053 TDB262052:TDD262053 TMX262052:TMZ262053 TWT262052:TWV262053 UGP262052:UGR262053 UQL262052:UQN262053 VAH262052:VAJ262053 VKD262052:VKF262053 VTZ262052:VUB262053 WDV262052:WDX262053 WNR262052:WNT262053 WXN262052:WXP262053 AW327588:BA327589 LB327588:LD327589 UX327588:UZ327589 AET327588:AEV327589 AOP327588:AOR327589 AYL327588:AYN327589 BIH327588:BIJ327589 BSD327588:BSF327589 CBZ327588:CCB327589 CLV327588:CLX327589 CVR327588:CVT327589 DFN327588:DFP327589 DPJ327588:DPL327589 DZF327588:DZH327589 EJB327588:EJD327589 ESX327588:ESZ327589 FCT327588:FCV327589 FMP327588:FMR327589 FWL327588:FWN327589 GGH327588:GGJ327589 GQD327588:GQF327589 GZZ327588:HAB327589 HJV327588:HJX327589 HTR327588:HTT327589 IDN327588:IDP327589 INJ327588:INL327589 IXF327588:IXH327589 JHB327588:JHD327589 JQX327588:JQZ327589 KAT327588:KAV327589 KKP327588:KKR327589 KUL327588:KUN327589 LEH327588:LEJ327589 LOD327588:LOF327589 LXZ327588:LYB327589 MHV327588:MHX327589 MRR327588:MRT327589 NBN327588:NBP327589 NLJ327588:NLL327589 NVF327588:NVH327589 OFB327588:OFD327589 OOX327588:OOZ327589 OYT327588:OYV327589 PIP327588:PIR327589 PSL327588:PSN327589 QCH327588:QCJ327589 QMD327588:QMF327589 QVZ327588:QWB327589 RFV327588:RFX327589 RPR327588:RPT327589 RZN327588:RZP327589 SJJ327588:SJL327589 STF327588:STH327589 TDB327588:TDD327589 TMX327588:TMZ327589 TWT327588:TWV327589 UGP327588:UGR327589 UQL327588:UQN327589 VAH327588:VAJ327589 VKD327588:VKF327589 VTZ327588:VUB327589 WDV327588:WDX327589 WNR327588:WNT327589 WXN327588:WXP327589 AW393124:BA393125 LB393124:LD393125 UX393124:UZ393125 AET393124:AEV393125 AOP393124:AOR393125 AYL393124:AYN393125 BIH393124:BIJ393125 BSD393124:BSF393125 CBZ393124:CCB393125 CLV393124:CLX393125 CVR393124:CVT393125 DFN393124:DFP393125 DPJ393124:DPL393125 DZF393124:DZH393125 EJB393124:EJD393125 ESX393124:ESZ393125 FCT393124:FCV393125 FMP393124:FMR393125 FWL393124:FWN393125 GGH393124:GGJ393125 GQD393124:GQF393125 GZZ393124:HAB393125 HJV393124:HJX393125 HTR393124:HTT393125 IDN393124:IDP393125 INJ393124:INL393125 IXF393124:IXH393125 JHB393124:JHD393125 JQX393124:JQZ393125 KAT393124:KAV393125 KKP393124:KKR393125 KUL393124:KUN393125 LEH393124:LEJ393125 LOD393124:LOF393125 LXZ393124:LYB393125 MHV393124:MHX393125 MRR393124:MRT393125 NBN393124:NBP393125 NLJ393124:NLL393125 NVF393124:NVH393125 OFB393124:OFD393125 OOX393124:OOZ393125 OYT393124:OYV393125 PIP393124:PIR393125 PSL393124:PSN393125 QCH393124:QCJ393125 QMD393124:QMF393125 QVZ393124:QWB393125 RFV393124:RFX393125 RPR393124:RPT393125 RZN393124:RZP393125 SJJ393124:SJL393125 STF393124:STH393125 TDB393124:TDD393125 TMX393124:TMZ393125 TWT393124:TWV393125 UGP393124:UGR393125 UQL393124:UQN393125 VAH393124:VAJ393125 VKD393124:VKF393125 VTZ393124:VUB393125 WDV393124:WDX393125 WNR393124:WNT393125 WXN393124:WXP393125 AW458660:BA458661 LB458660:LD458661 UX458660:UZ458661 AET458660:AEV458661 AOP458660:AOR458661 AYL458660:AYN458661 BIH458660:BIJ458661 BSD458660:BSF458661 CBZ458660:CCB458661 CLV458660:CLX458661 CVR458660:CVT458661 DFN458660:DFP458661 DPJ458660:DPL458661 DZF458660:DZH458661 EJB458660:EJD458661 ESX458660:ESZ458661 FCT458660:FCV458661 FMP458660:FMR458661 FWL458660:FWN458661 GGH458660:GGJ458661 GQD458660:GQF458661 GZZ458660:HAB458661 HJV458660:HJX458661 HTR458660:HTT458661 IDN458660:IDP458661 INJ458660:INL458661 IXF458660:IXH458661 JHB458660:JHD458661 JQX458660:JQZ458661 KAT458660:KAV458661 KKP458660:KKR458661 KUL458660:KUN458661 LEH458660:LEJ458661 LOD458660:LOF458661 LXZ458660:LYB458661 MHV458660:MHX458661 MRR458660:MRT458661 NBN458660:NBP458661 NLJ458660:NLL458661 NVF458660:NVH458661 OFB458660:OFD458661 OOX458660:OOZ458661 OYT458660:OYV458661 PIP458660:PIR458661 PSL458660:PSN458661 QCH458660:QCJ458661 QMD458660:QMF458661 QVZ458660:QWB458661 RFV458660:RFX458661 RPR458660:RPT458661 RZN458660:RZP458661 SJJ458660:SJL458661 STF458660:STH458661 TDB458660:TDD458661 TMX458660:TMZ458661 TWT458660:TWV458661 UGP458660:UGR458661 UQL458660:UQN458661 VAH458660:VAJ458661 VKD458660:VKF458661 VTZ458660:VUB458661 WDV458660:WDX458661 WNR458660:WNT458661 WXN458660:WXP458661 AW524196:BA524197 LB524196:LD524197 UX524196:UZ524197 AET524196:AEV524197 AOP524196:AOR524197 AYL524196:AYN524197 BIH524196:BIJ524197 BSD524196:BSF524197 CBZ524196:CCB524197 CLV524196:CLX524197 CVR524196:CVT524197 DFN524196:DFP524197 DPJ524196:DPL524197 DZF524196:DZH524197 EJB524196:EJD524197 ESX524196:ESZ524197 FCT524196:FCV524197 FMP524196:FMR524197 FWL524196:FWN524197 GGH524196:GGJ524197 GQD524196:GQF524197 GZZ524196:HAB524197 HJV524196:HJX524197 HTR524196:HTT524197 IDN524196:IDP524197 INJ524196:INL524197 IXF524196:IXH524197 JHB524196:JHD524197 JQX524196:JQZ524197 KAT524196:KAV524197 KKP524196:KKR524197 KUL524196:KUN524197 LEH524196:LEJ524197 LOD524196:LOF524197 LXZ524196:LYB524197 MHV524196:MHX524197 MRR524196:MRT524197 NBN524196:NBP524197 NLJ524196:NLL524197 NVF524196:NVH524197 OFB524196:OFD524197 OOX524196:OOZ524197 OYT524196:OYV524197 PIP524196:PIR524197 PSL524196:PSN524197 QCH524196:QCJ524197 QMD524196:QMF524197 QVZ524196:QWB524197 RFV524196:RFX524197 RPR524196:RPT524197 RZN524196:RZP524197 SJJ524196:SJL524197 STF524196:STH524197 TDB524196:TDD524197 TMX524196:TMZ524197 TWT524196:TWV524197 UGP524196:UGR524197 UQL524196:UQN524197 VAH524196:VAJ524197 VKD524196:VKF524197 VTZ524196:VUB524197 WDV524196:WDX524197 WNR524196:WNT524197 WXN524196:WXP524197 AW589732:BA589733 LB589732:LD589733 UX589732:UZ589733 AET589732:AEV589733 AOP589732:AOR589733 AYL589732:AYN589733 BIH589732:BIJ589733 BSD589732:BSF589733 CBZ589732:CCB589733 CLV589732:CLX589733 CVR589732:CVT589733 DFN589732:DFP589733 DPJ589732:DPL589733 DZF589732:DZH589733 EJB589732:EJD589733 ESX589732:ESZ589733 FCT589732:FCV589733 FMP589732:FMR589733 FWL589732:FWN589733 GGH589732:GGJ589733 GQD589732:GQF589733 GZZ589732:HAB589733 HJV589732:HJX589733 HTR589732:HTT589733 IDN589732:IDP589733 INJ589732:INL589733 IXF589732:IXH589733 JHB589732:JHD589733 JQX589732:JQZ589733 KAT589732:KAV589733 KKP589732:KKR589733 KUL589732:KUN589733 LEH589732:LEJ589733 LOD589732:LOF589733 LXZ589732:LYB589733 MHV589732:MHX589733 MRR589732:MRT589733 NBN589732:NBP589733 NLJ589732:NLL589733 NVF589732:NVH589733 OFB589732:OFD589733 OOX589732:OOZ589733 OYT589732:OYV589733 PIP589732:PIR589733 PSL589732:PSN589733 QCH589732:QCJ589733 QMD589732:QMF589733 QVZ589732:QWB589733 RFV589732:RFX589733 RPR589732:RPT589733 RZN589732:RZP589733 SJJ589732:SJL589733 STF589732:STH589733 TDB589732:TDD589733 TMX589732:TMZ589733 TWT589732:TWV589733 UGP589732:UGR589733 UQL589732:UQN589733 VAH589732:VAJ589733 VKD589732:VKF589733 VTZ589732:VUB589733 WDV589732:WDX589733 WNR589732:WNT589733 WXN589732:WXP589733 AW655268:BA655269 LB655268:LD655269 UX655268:UZ655269 AET655268:AEV655269 AOP655268:AOR655269 AYL655268:AYN655269 BIH655268:BIJ655269 BSD655268:BSF655269 CBZ655268:CCB655269 CLV655268:CLX655269 CVR655268:CVT655269 DFN655268:DFP655269 DPJ655268:DPL655269 DZF655268:DZH655269 EJB655268:EJD655269 ESX655268:ESZ655269 FCT655268:FCV655269 FMP655268:FMR655269 FWL655268:FWN655269 GGH655268:GGJ655269 GQD655268:GQF655269 GZZ655268:HAB655269 HJV655268:HJX655269 HTR655268:HTT655269 IDN655268:IDP655269 INJ655268:INL655269 IXF655268:IXH655269 JHB655268:JHD655269 JQX655268:JQZ655269 KAT655268:KAV655269 KKP655268:KKR655269 KUL655268:KUN655269 LEH655268:LEJ655269 LOD655268:LOF655269 LXZ655268:LYB655269 MHV655268:MHX655269 MRR655268:MRT655269 NBN655268:NBP655269 NLJ655268:NLL655269 NVF655268:NVH655269 OFB655268:OFD655269 OOX655268:OOZ655269 OYT655268:OYV655269 PIP655268:PIR655269 PSL655268:PSN655269 QCH655268:QCJ655269 QMD655268:QMF655269 QVZ655268:QWB655269 RFV655268:RFX655269 RPR655268:RPT655269 RZN655268:RZP655269 SJJ655268:SJL655269 STF655268:STH655269 TDB655268:TDD655269 TMX655268:TMZ655269 TWT655268:TWV655269 UGP655268:UGR655269 UQL655268:UQN655269 VAH655268:VAJ655269 VKD655268:VKF655269 VTZ655268:VUB655269 WDV655268:WDX655269 WNR655268:WNT655269 WXN655268:WXP655269 AW720804:BA720805 LB720804:LD720805 UX720804:UZ720805 AET720804:AEV720805 AOP720804:AOR720805 AYL720804:AYN720805 BIH720804:BIJ720805 BSD720804:BSF720805 CBZ720804:CCB720805 CLV720804:CLX720805 CVR720804:CVT720805 DFN720804:DFP720805 DPJ720804:DPL720805 DZF720804:DZH720805 EJB720804:EJD720805 ESX720804:ESZ720805 FCT720804:FCV720805 FMP720804:FMR720805 FWL720804:FWN720805 GGH720804:GGJ720805 GQD720804:GQF720805 GZZ720804:HAB720805 HJV720804:HJX720805 HTR720804:HTT720805 IDN720804:IDP720805 INJ720804:INL720805 IXF720804:IXH720805 JHB720804:JHD720805 JQX720804:JQZ720805 KAT720804:KAV720805 KKP720804:KKR720805 KUL720804:KUN720805 LEH720804:LEJ720805 LOD720804:LOF720805 LXZ720804:LYB720805 MHV720804:MHX720805 MRR720804:MRT720805 NBN720804:NBP720805 NLJ720804:NLL720805 NVF720804:NVH720805 OFB720804:OFD720805 OOX720804:OOZ720805 OYT720804:OYV720805 PIP720804:PIR720805 PSL720804:PSN720805 QCH720804:QCJ720805 QMD720804:QMF720805 QVZ720804:QWB720805 RFV720804:RFX720805 RPR720804:RPT720805 RZN720804:RZP720805 SJJ720804:SJL720805 STF720804:STH720805 TDB720804:TDD720805 TMX720804:TMZ720805 TWT720804:TWV720805 UGP720804:UGR720805 UQL720804:UQN720805 VAH720804:VAJ720805 VKD720804:VKF720805 VTZ720804:VUB720805 WDV720804:WDX720805 WNR720804:WNT720805 WXN720804:WXP720805 AW786340:BA786341 LB786340:LD786341 UX786340:UZ786341 AET786340:AEV786341 AOP786340:AOR786341 AYL786340:AYN786341 BIH786340:BIJ786341 BSD786340:BSF786341 CBZ786340:CCB786341 CLV786340:CLX786341 CVR786340:CVT786341 DFN786340:DFP786341 DPJ786340:DPL786341 DZF786340:DZH786341 EJB786340:EJD786341 ESX786340:ESZ786341 FCT786340:FCV786341 FMP786340:FMR786341 FWL786340:FWN786341 GGH786340:GGJ786341 GQD786340:GQF786341 GZZ786340:HAB786341 HJV786340:HJX786341 HTR786340:HTT786341 IDN786340:IDP786341 INJ786340:INL786341 IXF786340:IXH786341 JHB786340:JHD786341 JQX786340:JQZ786341 KAT786340:KAV786341 KKP786340:KKR786341 KUL786340:KUN786341 LEH786340:LEJ786341 LOD786340:LOF786341 LXZ786340:LYB786341 MHV786340:MHX786341 MRR786340:MRT786341 NBN786340:NBP786341 NLJ786340:NLL786341 NVF786340:NVH786341 OFB786340:OFD786341 OOX786340:OOZ786341 OYT786340:OYV786341 PIP786340:PIR786341 PSL786340:PSN786341 QCH786340:QCJ786341 QMD786340:QMF786341 QVZ786340:QWB786341 RFV786340:RFX786341 RPR786340:RPT786341 RZN786340:RZP786341 SJJ786340:SJL786341 STF786340:STH786341 TDB786340:TDD786341 TMX786340:TMZ786341 TWT786340:TWV786341 UGP786340:UGR786341 UQL786340:UQN786341 VAH786340:VAJ786341 VKD786340:VKF786341 VTZ786340:VUB786341 WDV786340:WDX786341 WNR786340:WNT786341 WXN786340:WXP786341 AW851876:BA851877 LB851876:LD851877 UX851876:UZ851877 AET851876:AEV851877 AOP851876:AOR851877 AYL851876:AYN851877 BIH851876:BIJ851877 BSD851876:BSF851877 CBZ851876:CCB851877 CLV851876:CLX851877 CVR851876:CVT851877 DFN851876:DFP851877 DPJ851876:DPL851877 DZF851876:DZH851877 EJB851876:EJD851877 ESX851876:ESZ851877 FCT851876:FCV851877 FMP851876:FMR851877 FWL851876:FWN851877 GGH851876:GGJ851877 GQD851876:GQF851877 GZZ851876:HAB851877 HJV851876:HJX851877 HTR851876:HTT851877 IDN851876:IDP851877 INJ851876:INL851877 IXF851876:IXH851877 JHB851876:JHD851877 JQX851876:JQZ851877 KAT851876:KAV851877 KKP851876:KKR851877 KUL851876:KUN851877 LEH851876:LEJ851877 LOD851876:LOF851877 LXZ851876:LYB851877 MHV851876:MHX851877 MRR851876:MRT851877 NBN851876:NBP851877 NLJ851876:NLL851877 NVF851876:NVH851877 OFB851876:OFD851877 OOX851876:OOZ851877 OYT851876:OYV851877 PIP851876:PIR851877 PSL851876:PSN851877 QCH851876:QCJ851877 QMD851876:QMF851877 QVZ851876:QWB851877 RFV851876:RFX851877 RPR851876:RPT851877 RZN851876:RZP851877 SJJ851876:SJL851877 STF851876:STH851877 TDB851876:TDD851877 TMX851876:TMZ851877 TWT851876:TWV851877 UGP851876:UGR851877 UQL851876:UQN851877 VAH851876:VAJ851877 VKD851876:VKF851877 VTZ851876:VUB851877 WDV851876:WDX851877 WNR851876:WNT851877 WXN851876:WXP851877 AW917412:BA917413 LB917412:LD917413 UX917412:UZ917413 AET917412:AEV917413 AOP917412:AOR917413 AYL917412:AYN917413 BIH917412:BIJ917413 BSD917412:BSF917413 CBZ917412:CCB917413 CLV917412:CLX917413 CVR917412:CVT917413 DFN917412:DFP917413 DPJ917412:DPL917413 DZF917412:DZH917413 EJB917412:EJD917413 ESX917412:ESZ917413 FCT917412:FCV917413 FMP917412:FMR917413 FWL917412:FWN917413 GGH917412:GGJ917413 GQD917412:GQF917413 GZZ917412:HAB917413 HJV917412:HJX917413 HTR917412:HTT917413 IDN917412:IDP917413 INJ917412:INL917413 IXF917412:IXH917413 JHB917412:JHD917413 JQX917412:JQZ917413 KAT917412:KAV917413 KKP917412:KKR917413 KUL917412:KUN917413 LEH917412:LEJ917413 LOD917412:LOF917413 LXZ917412:LYB917413 MHV917412:MHX917413 MRR917412:MRT917413 NBN917412:NBP917413 NLJ917412:NLL917413 NVF917412:NVH917413 OFB917412:OFD917413 OOX917412:OOZ917413 OYT917412:OYV917413 PIP917412:PIR917413 PSL917412:PSN917413 QCH917412:QCJ917413 QMD917412:QMF917413 QVZ917412:QWB917413 RFV917412:RFX917413 RPR917412:RPT917413 RZN917412:RZP917413 SJJ917412:SJL917413 STF917412:STH917413 TDB917412:TDD917413 TMX917412:TMZ917413 TWT917412:TWV917413 UGP917412:UGR917413 UQL917412:UQN917413 VAH917412:VAJ917413 VKD917412:VKF917413 VTZ917412:VUB917413 WDV917412:WDX917413 WNR917412:WNT917413 WXN917412:WXP917413 AW982948:BA982949 LB982948:LD982949 UX982948:UZ982949 AET982948:AEV982949 AOP982948:AOR982949 AYL982948:AYN982949 BIH982948:BIJ982949 BSD982948:BSF982949 CBZ982948:CCB982949 CLV982948:CLX982949 CVR982948:CVT982949 DFN982948:DFP982949 DPJ982948:DPL982949 DZF982948:DZH982949 EJB982948:EJD982949 ESX982948:ESZ982949 FCT982948:FCV982949 FMP982948:FMR982949 FWL982948:FWN982949 GGH982948:GGJ982949 GQD982948:GQF982949 GZZ982948:HAB982949 HJV982948:HJX982949 HTR982948:HTT982949 IDN982948:IDP982949 INJ982948:INL982949 IXF982948:IXH982949 JHB982948:JHD982949 JQX982948:JQZ982949 KAT982948:KAV982949 KKP982948:KKR982949 KUL982948:KUN982949 LEH982948:LEJ982949 LOD982948:LOF982949 LXZ982948:LYB982949 MHV982948:MHX982949 MRR982948:MRT982949 NBN982948:NBP982949 NLJ982948:NLL982949 NVF982948:NVH982949 OFB982948:OFD982949 OOX982948:OOZ982949 OYT982948:OYV982949 PIP982948:PIR982949 PSL982948:PSN982949 QCH982948:QCJ982949 QMD982948:QMF982949 QVZ982948:QWB982949 RFV982948:RFX982949 RPR982948:RPT982949 RZN982948:RZP982949 SJJ982948:SJL982949 STF982948:STH982949 TDB982948:TDD982949 TMX982948:TMZ982949 TWT982948:TWV982949 UGP982948:UGR982949 UQL982948:UQN982949 VAH982948:VAJ982949 VKD982948:VKF982949 VTZ982948:VUB982949 WDV982948:WDX982949 WNR982948:WNT982949 WXN982948:WXP982949 AW65364:BA65413 LB65364:LD65413 UX65364:UZ65413 AET65364:AEV65413 AOP65364:AOR65413 AYL65364:AYN65413 BIH65364:BIJ65413 BSD65364:BSF65413 CBZ65364:CCB65413 CLV65364:CLX65413 CVR65364:CVT65413 DFN65364:DFP65413 DPJ65364:DPL65413 DZF65364:DZH65413 EJB65364:EJD65413 ESX65364:ESZ65413 FCT65364:FCV65413 FMP65364:FMR65413 FWL65364:FWN65413 GGH65364:GGJ65413 GQD65364:GQF65413 GZZ65364:HAB65413 HJV65364:HJX65413 HTR65364:HTT65413 IDN65364:IDP65413 INJ65364:INL65413 IXF65364:IXH65413 JHB65364:JHD65413 JQX65364:JQZ65413 KAT65364:KAV65413 KKP65364:KKR65413 KUL65364:KUN65413 LEH65364:LEJ65413 LOD65364:LOF65413 LXZ65364:LYB65413 MHV65364:MHX65413 MRR65364:MRT65413 NBN65364:NBP65413 NLJ65364:NLL65413 NVF65364:NVH65413 OFB65364:OFD65413 OOX65364:OOZ65413 OYT65364:OYV65413 PIP65364:PIR65413 PSL65364:PSN65413 QCH65364:QCJ65413 QMD65364:QMF65413 QVZ65364:QWB65413 RFV65364:RFX65413 RPR65364:RPT65413 RZN65364:RZP65413 SJJ65364:SJL65413 STF65364:STH65413 TDB65364:TDD65413 TMX65364:TMZ65413 TWT65364:TWV65413 UGP65364:UGR65413 UQL65364:UQN65413 VAH65364:VAJ65413 VKD65364:VKF65413 VTZ65364:VUB65413 WDV65364:WDX65413 WNR65364:WNT65413 WXN65364:WXP65413 AW130900:BA130949 LB130900:LD130949 UX130900:UZ130949 AET130900:AEV130949 AOP130900:AOR130949 AYL130900:AYN130949 BIH130900:BIJ130949 BSD130900:BSF130949 CBZ130900:CCB130949 CLV130900:CLX130949 CVR130900:CVT130949 DFN130900:DFP130949 DPJ130900:DPL130949 DZF130900:DZH130949 EJB130900:EJD130949 ESX130900:ESZ130949 FCT130900:FCV130949 FMP130900:FMR130949 FWL130900:FWN130949 GGH130900:GGJ130949 GQD130900:GQF130949 GZZ130900:HAB130949 HJV130900:HJX130949 HTR130900:HTT130949 IDN130900:IDP130949 INJ130900:INL130949 IXF130900:IXH130949 JHB130900:JHD130949 JQX130900:JQZ130949 KAT130900:KAV130949 KKP130900:KKR130949 KUL130900:KUN130949 LEH130900:LEJ130949 LOD130900:LOF130949 LXZ130900:LYB130949 MHV130900:MHX130949 MRR130900:MRT130949 NBN130900:NBP130949 NLJ130900:NLL130949 NVF130900:NVH130949 OFB130900:OFD130949 OOX130900:OOZ130949 OYT130900:OYV130949 PIP130900:PIR130949 PSL130900:PSN130949 QCH130900:QCJ130949 QMD130900:QMF130949 QVZ130900:QWB130949 RFV130900:RFX130949 RPR130900:RPT130949 RZN130900:RZP130949 SJJ130900:SJL130949 STF130900:STH130949 TDB130900:TDD130949 TMX130900:TMZ130949 TWT130900:TWV130949 UGP130900:UGR130949 UQL130900:UQN130949 VAH130900:VAJ130949 VKD130900:VKF130949 VTZ130900:VUB130949 WDV130900:WDX130949 WNR130900:WNT130949 WXN130900:WXP130949 AW196436:BA196485 LB196436:LD196485 UX196436:UZ196485 AET196436:AEV196485 AOP196436:AOR196485 AYL196436:AYN196485 BIH196436:BIJ196485 BSD196436:BSF196485 CBZ196436:CCB196485 CLV196436:CLX196485 CVR196436:CVT196485 DFN196436:DFP196485 DPJ196436:DPL196485 DZF196436:DZH196485 EJB196436:EJD196485 ESX196436:ESZ196485 FCT196436:FCV196485 FMP196436:FMR196485 FWL196436:FWN196485 GGH196436:GGJ196485 GQD196436:GQF196485 GZZ196436:HAB196485 HJV196436:HJX196485 HTR196436:HTT196485 IDN196436:IDP196485 INJ196436:INL196485 IXF196436:IXH196485 JHB196436:JHD196485 JQX196436:JQZ196485 KAT196436:KAV196485 KKP196436:KKR196485 KUL196436:KUN196485 LEH196436:LEJ196485 LOD196436:LOF196485 LXZ196436:LYB196485 MHV196436:MHX196485 MRR196436:MRT196485 NBN196436:NBP196485 NLJ196436:NLL196485 NVF196436:NVH196485 OFB196436:OFD196485 OOX196436:OOZ196485 OYT196436:OYV196485 PIP196436:PIR196485 PSL196436:PSN196485 QCH196436:QCJ196485 QMD196436:QMF196485 QVZ196436:QWB196485 RFV196436:RFX196485 RPR196436:RPT196485 RZN196436:RZP196485 SJJ196436:SJL196485 STF196436:STH196485 TDB196436:TDD196485 TMX196436:TMZ196485 TWT196436:TWV196485 UGP196436:UGR196485 UQL196436:UQN196485 VAH196436:VAJ196485 VKD196436:VKF196485 VTZ196436:VUB196485 WDV196436:WDX196485 WNR196436:WNT196485 WXN196436:WXP196485 AW261972:BA262021 LB261972:LD262021 UX261972:UZ262021 AET261972:AEV262021 AOP261972:AOR262021 AYL261972:AYN262021 BIH261972:BIJ262021 BSD261972:BSF262021 CBZ261972:CCB262021 CLV261972:CLX262021 CVR261972:CVT262021 DFN261972:DFP262021 DPJ261972:DPL262021 DZF261972:DZH262021 EJB261972:EJD262021 ESX261972:ESZ262021 FCT261972:FCV262021 FMP261972:FMR262021 FWL261972:FWN262021 GGH261972:GGJ262021 GQD261972:GQF262021 GZZ261972:HAB262021 HJV261972:HJX262021 HTR261972:HTT262021 IDN261972:IDP262021 INJ261972:INL262021 IXF261972:IXH262021 JHB261972:JHD262021 JQX261972:JQZ262021 KAT261972:KAV262021 KKP261972:KKR262021 KUL261972:KUN262021 LEH261972:LEJ262021 LOD261972:LOF262021 LXZ261972:LYB262021 MHV261972:MHX262021 MRR261972:MRT262021 NBN261972:NBP262021 NLJ261972:NLL262021 NVF261972:NVH262021 OFB261972:OFD262021 OOX261972:OOZ262021 OYT261972:OYV262021 PIP261972:PIR262021 PSL261972:PSN262021 QCH261972:QCJ262021 QMD261972:QMF262021 QVZ261972:QWB262021 RFV261972:RFX262021 RPR261972:RPT262021 RZN261972:RZP262021 SJJ261972:SJL262021 STF261972:STH262021 TDB261972:TDD262021 TMX261972:TMZ262021 TWT261972:TWV262021 UGP261972:UGR262021 UQL261972:UQN262021 VAH261972:VAJ262021 VKD261972:VKF262021 VTZ261972:VUB262021 WDV261972:WDX262021 WNR261972:WNT262021 WXN261972:WXP262021 AW327508:BA327557 LB327508:LD327557 UX327508:UZ327557 AET327508:AEV327557 AOP327508:AOR327557 AYL327508:AYN327557 BIH327508:BIJ327557 BSD327508:BSF327557 CBZ327508:CCB327557 CLV327508:CLX327557 CVR327508:CVT327557 DFN327508:DFP327557 DPJ327508:DPL327557 DZF327508:DZH327557 EJB327508:EJD327557 ESX327508:ESZ327557 FCT327508:FCV327557 FMP327508:FMR327557 FWL327508:FWN327557 GGH327508:GGJ327557 GQD327508:GQF327557 GZZ327508:HAB327557 HJV327508:HJX327557 HTR327508:HTT327557 IDN327508:IDP327557 INJ327508:INL327557 IXF327508:IXH327557 JHB327508:JHD327557 JQX327508:JQZ327557 KAT327508:KAV327557 KKP327508:KKR327557 KUL327508:KUN327557 LEH327508:LEJ327557 LOD327508:LOF327557 LXZ327508:LYB327557 MHV327508:MHX327557 MRR327508:MRT327557 NBN327508:NBP327557 NLJ327508:NLL327557 NVF327508:NVH327557 OFB327508:OFD327557 OOX327508:OOZ327557 OYT327508:OYV327557 PIP327508:PIR327557 PSL327508:PSN327557 QCH327508:QCJ327557 QMD327508:QMF327557 QVZ327508:QWB327557 RFV327508:RFX327557 RPR327508:RPT327557 RZN327508:RZP327557 SJJ327508:SJL327557 STF327508:STH327557 TDB327508:TDD327557 TMX327508:TMZ327557 TWT327508:TWV327557 UGP327508:UGR327557 UQL327508:UQN327557 VAH327508:VAJ327557 VKD327508:VKF327557 VTZ327508:VUB327557 WDV327508:WDX327557 WNR327508:WNT327557 WXN327508:WXP327557 AW393044:BA393093 LB393044:LD393093 UX393044:UZ393093 AET393044:AEV393093 AOP393044:AOR393093 AYL393044:AYN393093 BIH393044:BIJ393093 BSD393044:BSF393093 CBZ393044:CCB393093 CLV393044:CLX393093 CVR393044:CVT393093 DFN393044:DFP393093 DPJ393044:DPL393093 DZF393044:DZH393093 EJB393044:EJD393093 ESX393044:ESZ393093 FCT393044:FCV393093 FMP393044:FMR393093 FWL393044:FWN393093 GGH393044:GGJ393093 GQD393044:GQF393093 GZZ393044:HAB393093 HJV393044:HJX393093 HTR393044:HTT393093 IDN393044:IDP393093 INJ393044:INL393093 IXF393044:IXH393093 JHB393044:JHD393093 JQX393044:JQZ393093 KAT393044:KAV393093 KKP393044:KKR393093 KUL393044:KUN393093 LEH393044:LEJ393093 LOD393044:LOF393093 LXZ393044:LYB393093 MHV393044:MHX393093 MRR393044:MRT393093 NBN393044:NBP393093 NLJ393044:NLL393093 NVF393044:NVH393093 OFB393044:OFD393093 OOX393044:OOZ393093 OYT393044:OYV393093 PIP393044:PIR393093 PSL393044:PSN393093 QCH393044:QCJ393093 QMD393044:QMF393093 QVZ393044:QWB393093 RFV393044:RFX393093 RPR393044:RPT393093 RZN393044:RZP393093 SJJ393044:SJL393093 STF393044:STH393093 TDB393044:TDD393093 TMX393044:TMZ393093 TWT393044:TWV393093 UGP393044:UGR393093 UQL393044:UQN393093 VAH393044:VAJ393093 VKD393044:VKF393093 VTZ393044:VUB393093 WDV393044:WDX393093 WNR393044:WNT393093 WXN393044:WXP393093 AW458580:BA458629 LB458580:LD458629 UX458580:UZ458629 AET458580:AEV458629 AOP458580:AOR458629 AYL458580:AYN458629 BIH458580:BIJ458629 BSD458580:BSF458629 CBZ458580:CCB458629 CLV458580:CLX458629 CVR458580:CVT458629 DFN458580:DFP458629 DPJ458580:DPL458629 DZF458580:DZH458629 EJB458580:EJD458629 ESX458580:ESZ458629 FCT458580:FCV458629 FMP458580:FMR458629 FWL458580:FWN458629 GGH458580:GGJ458629 GQD458580:GQF458629 GZZ458580:HAB458629 HJV458580:HJX458629 HTR458580:HTT458629 IDN458580:IDP458629 INJ458580:INL458629 IXF458580:IXH458629 JHB458580:JHD458629 JQX458580:JQZ458629 KAT458580:KAV458629 KKP458580:KKR458629 KUL458580:KUN458629 LEH458580:LEJ458629 LOD458580:LOF458629 LXZ458580:LYB458629 MHV458580:MHX458629 MRR458580:MRT458629 NBN458580:NBP458629 NLJ458580:NLL458629 NVF458580:NVH458629 OFB458580:OFD458629 OOX458580:OOZ458629 OYT458580:OYV458629 PIP458580:PIR458629 PSL458580:PSN458629 QCH458580:QCJ458629 QMD458580:QMF458629 QVZ458580:QWB458629 RFV458580:RFX458629 RPR458580:RPT458629 RZN458580:RZP458629 SJJ458580:SJL458629 STF458580:STH458629 TDB458580:TDD458629 TMX458580:TMZ458629 TWT458580:TWV458629 UGP458580:UGR458629 UQL458580:UQN458629 VAH458580:VAJ458629 VKD458580:VKF458629 VTZ458580:VUB458629 WDV458580:WDX458629 WNR458580:WNT458629 WXN458580:WXP458629 AW524116:BA524165 LB524116:LD524165 UX524116:UZ524165 AET524116:AEV524165 AOP524116:AOR524165 AYL524116:AYN524165 BIH524116:BIJ524165 BSD524116:BSF524165 CBZ524116:CCB524165 CLV524116:CLX524165 CVR524116:CVT524165 DFN524116:DFP524165 DPJ524116:DPL524165 DZF524116:DZH524165 EJB524116:EJD524165 ESX524116:ESZ524165 FCT524116:FCV524165 FMP524116:FMR524165 FWL524116:FWN524165 GGH524116:GGJ524165 GQD524116:GQF524165 GZZ524116:HAB524165 HJV524116:HJX524165 HTR524116:HTT524165 IDN524116:IDP524165 INJ524116:INL524165 IXF524116:IXH524165 JHB524116:JHD524165 JQX524116:JQZ524165 KAT524116:KAV524165 KKP524116:KKR524165 KUL524116:KUN524165 LEH524116:LEJ524165 LOD524116:LOF524165 LXZ524116:LYB524165 MHV524116:MHX524165 MRR524116:MRT524165 NBN524116:NBP524165 NLJ524116:NLL524165 NVF524116:NVH524165 OFB524116:OFD524165 OOX524116:OOZ524165 OYT524116:OYV524165 PIP524116:PIR524165 PSL524116:PSN524165 QCH524116:QCJ524165 QMD524116:QMF524165 QVZ524116:QWB524165 RFV524116:RFX524165 RPR524116:RPT524165 RZN524116:RZP524165 SJJ524116:SJL524165 STF524116:STH524165 TDB524116:TDD524165 TMX524116:TMZ524165 TWT524116:TWV524165 UGP524116:UGR524165 UQL524116:UQN524165 VAH524116:VAJ524165 VKD524116:VKF524165 VTZ524116:VUB524165 WDV524116:WDX524165 WNR524116:WNT524165 WXN524116:WXP524165 AW589652:BA589701 LB589652:LD589701 UX589652:UZ589701 AET589652:AEV589701 AOP589652:AOR589701 AYL589652:AYN589701 BIH589652:BIJ589701 BSD589652:BSF589701 CBZ589652:CCB589701 CLV589652:CLX589701 CVR589652:CVT589701 DFN589652:DFP589701 DPJ589652:DPL589701 DZF589652:DZH589701 EJB589652:EJD589701 ESX589652:ESZ589701 FCT589652:FCV589701 FMP589652:FMR589701 FWL589652:FWN589701 GGH589652:GGJ589701 GQD589652:GQF589701 GZZ589652:HAB589701 HJV589652:HJX589701 HTR589652:HTT589701 IDN589652:IDP589701 INJ589652:INL589701 IXF589652:IXH589701 JHB589652:JHD589701 JQX589652:JQZ589701 KAT589652:KAV589701 KKP589652:KKR589701 KUL589652:KUN589701 LEH589652:LEJ589701 LOD589652:LOF589701 LXZ589652:LYB589701 MHV589652:MHX589701 MRR589652:MRT589701 NBN589652:NBP589701 NLJ589652:NLL589701 NVF589652:NVH589701 OFB589652:OFD589701 OOX589652:OOZ589701 OYT589652:OYV589701 PIP589652:PIR589701 PSL589652:PSN589701 QCH589652:QCJ589701 QMD589652:QMF589701 QVZ589652:QWB589701 RFV589652:RFX589701 RPR589652:RPT589701 RZN589652:RZP589701 SJJ589652:SJL589701 STF589652:STH589701 TDB589652:TDD589701 TMX589652:TMZ589701 TWT589652:TWV589701 UGP589652:UGR589701 UQL589652:UQN589701 VAH589652:VAJ589701 VKD589652:VKF589701 VTZ589652:VUB589701 WDV589652:WDX589701 WNR589652:WNT589701 WXN589652:WXP589701 AW655188:BA655237 LB655188:LD655237 UX655188:UZ655237 AET655188:AEV655237 AOP655188:AOR655237 AYL655188:AYN655237 BIH655188:BIJ655237 BSD655188:BSF655237 CBZ655188:CCB655237 CLV655188:CLX655237 CVR655188:CVT655237 DFN655188:DFP655237 DPJ655188:DPL655237 DZF655188:DZH655237 EJB655188:EJD655237 ESX655188:ESZ655237 FCT655188:FCV655237 FMP655188:FMR655237 FWL655188:FWN655237 GGH655188:GGJ655237 GQD655188:GQF655237 GZZ655188:HAB655237 HJV655188:HJX655237 HTR655188:HTT655237 IDN655188:IDP655237 INJ655188:INL655237 IXF655188:IXH655237 JHB655188:JHD655237 JQX655188:JQZ655237 KAT655188:KAV655237 KKP655188:KKR655237 KUL655188:KUN655237 LEH655188:LEJ655237 LOD655188:LOF655237 LXZ655188:LYB655237 MHV655188:MHX655237 MRR655188:MRT655237 NBN655188:NBP655237 NLJ655188:NLL655237 NVF655188:NVH655237 OFB655188:OFD655237 OOX655188:OOZ655237 OYT655188:OYV655237 PIP655188:PIR655237 PSL655188:PSN655237 QCH655188:QCJ655237 QMD655188:QMF655237 QVZ655188:QWB655237 RFV655188:RFX655237 RPR655188:RPT655237 RZN655188:RZP655237 SJJ655188:SJL655237 STF655188:STH655237 TDB655188:TDD655237 TMX655188:TMZ655237 TWT655188:TWV655237 UGP655188:UGR655237 UQL655188:UQN655237 VAH655188:VAJ655237 VKD655188:VKF655237 VTZ655188:VUB655237 WDV655188:WDX655237 WNR655188:WNT655237 WXN655188:WXP655237 AW720724:BA720773 LB720724:LD720773 UX720724:UZ720773 AET720724:AEV720773 AOP720724:AOR720773 AYL720724:AYN720773 BIH720724:BIJ720773 BSD720724:BSF720773 CBZ720724:CCB720773 CLV720724:CLX720773 CVR720724:CVT720773 DFN720724:DFP720773 DPJ720724:DPL720773 DZF720724:DZH720773 EJB720724:EJD720773 ESX720724:ESZ720773 FCT720724:FCV720773 FMP720724:FMR720773 FWL720724:FWN720773 GGH720724:GGJ720773 GQD720724:GQF720773 GZZ720724:HAB720773 HJV720724:HJX720773 HTR720724:HTT720773 IDN720724:IDP720773 INJ720724:INL720773 IXF720724:IXH720773 JHB720724:JHD720773 JQX720724:JQZ720773 KAT720724:KAV720773 KKP720724:KKR720773 KUL720724:KUN720773 LEH720724:LEJ720773 LOD720724:LOF720773 LXZ720724:LYB720773 MHV720724:MHX720773 MRR720724:MRT720773 NBN720724:NBP720773 NLJ720724:NLL720773 NVF720724:NVH720773 OFB720724:OFD720773 OOX720724:OOZ720773 OYT720724:OYV720773 PIP720724:PIR720773 PSL720724:PSN720773 QCH720724:QCJ720773 QMD720724:QMF720773 QVZ720724:QWB720773 RFV720724:RFX720773 RPR720724:RPT720773 RZN720724:RZP720773 SJJ720724:SJL720773 STF720724:STH720773 TDB720724:TDD720773 TMX720724:TMZ720773 TWT720724:TWV720773 UGP720724:UGR720773 UQL720724:UQN720773 VAH720724:VAJ720773 VKD720724:VKF720773 VTZ720724:VUB720773 WDV720724:WDX720773 WNR720724:WNT720773 WXN720724:WXP720773 AW786260:BA786309 LB786260:LD786309 UX786260:UZ786309 AET786260:AEV786309 AOP786260:AOR786309 AYL786260:AYN786309 BIH786260:BIJ786309 BSD786260:BSF786309 CBZ786260:CCB786309 CLV786260:CLX786309 CVR786260:CVT786309 DFN786260:DFP786309 DPJ786260:DPL786309 DZF786260:DZH786309 EJB786260:EJD786309 ESX786260:ESZ786309 FCT786260:FCV786309 FMP786260:FMR786309 FWL786260:FWN786309 GGH786260:GGJ786309 GQD786260:GQF786309 GZZ786260:HAB786309 HJV786260:HJX786309 HTR786260:HTT786309 IDN786260:IDP786309 INJ786260:INL786309 IXF786260:IXH786309 JHB786260:JHD786309 JQX786260:JQZ786309 KAT786260:KAV786309 KKP786260:KKR786309 KUL786260:KUN786309 LEH786260:LEJ786309 LOD786260:LOF786309 LXZ786260:LYB786309 MHV786260:MHX786309 MRR786260:MRT786309 NBN786260:NBP786309 NLJ786260:NLL786309 NVF786260:NVH786309 OFB786260:OFD786309 OOX786260:OOZ786309 OYT786260:OYV786309 PIP786260:PIR786309 PSL786260:PSN786309 QCH786260:QCJ786309 QMD786260:QMF786309 QVZ786260:QWB786309 RFV786260:RFX786309 RPR786260:RPT786309 RZN786260:RZP786309 SJJ786260:SJL786309 STF786260:STH786309 TDB786260:TDD786309 TMX786260:TMZ786309 TWT786260:TWV786309 UGP786260:UGR786309 UQL786260:UQN786309 VAH786260:VAJ786309 VKD786260:VKF786309 VTZ786260:VUB786309 WDV786260:WDX786309 WNR786260:WNT786309 WXN786260:WXP786309 AW851796:BA851845 LB851796:LD851845 UX851796:UZ851845 AET851796:AEV851845 AOP851796:AOR851845 AYL851796:AYN851845 BIH851796:BIJ851845 BSD851796:BSF851845 CBZ851796:CCB851845 CLV851796:CLX851845 CVR851796:CVT851845 DFN851796:DFP851845 DPJ851796:DPL851845 DZF851796:DZH851845 EJB851796:EJD851845 ESX851796:ESZ851845 FCT851796:FCV851845 FMP851796:FMR851845 FWL851796:FWN851845 GGH851796:GGJ851845 GQD851796:GQF851845 GZZ851796:HAB851845 HJV851796:HJX851845 HTR851796:HTT851845 IDN851796:IDP851845 INJ851796:INL851845 IXF851796:IXH851845 JHB851796:JHD851845 JQX851796:JQZ851845 KAT851796:KAV851845 KKP851796:KKR851845 KUL851796:KUN851845 LEH851796:LEJ851845 LOD851796:LOF851845 LXZ851796:LYB851845 MHV851796:MHX851845 MRR851796:MRT851845 NBN851796:NBP851845 NLJ851796:NLL851845 NVF851796:NVH851845 OFB851796:OFD851845 OOX851796:OOZ851845 OYT851796:OYV851845 PIP851796:PIR851845 PSL851796:PSN851845 QCH851796:QCJ851845 QMD851796:QMF851845 QVZ851796:QWB851845 RFV851796:RFX851845 RPR851796:RPT851845 RZN851796:RZP851845 SJJ851796:SJL851845 STF851796:STH851845 TDB851796:TDD851845 TMX851796:TMZ851845 TWT851796:TWV851845 UGP851796:UGR851845 UQL851796:UQN851845 VAH851796:VAJ851845 VKD851796:VKF851845 VTZ851796:VUB851845 WDV851796:WDX851845 WNR851796:WNT851845 WXN851796:WXP851845 AW917332:BA917381 LB917332:LD917381 UX917332:UZ917381 AET917332:AEV917381 AOP917332:AOR917381 AYL917332:AYN917381 BIH917332:BIJ917381 BSD917332:BSF917381 CBZ917332:CCB917381 CLV917332:CLX917381 CVR917332:CVT917381 DFN917332:DFP917381 DPJ917332:DPL917381 DZF917332:DZH917381 EJB917332:EJD917381 ESX917332:ESZ917381 FCT917332:FCV917381 FMP917332:FMR917381 FWL917332:FWN917381 GGH917332:GGJ917381 GQD917332:GQF917381 GZZ917332:HAB917381 HJV917332:HJX917381 HTR917332:HTT917381 IDN917332:IDP917381 INJ917332:INL917381 IXF917332:IXH917381 JHB917332:JHD917381 JQX917332:JQZ917381 KAT917332:KAV917381 KKP917332:KKR917381 KUL917332:KUN917381 LEH917332:LEJ917381 LOD917332:LOF917381 LXZ917332:LYB917381 MHV917332:MHX917381 MRR917332:MRT917381 NBN917332:NBP917381 NLJ917332:NLL917381 NVF917332:NVH917381 OFB917332:OFD917381 OOX917332:OOZ917381 OYT917332:OYV917381 PIP917332:PIR917381 PSL917332:PSN917381 QCH917332:QCJ917381 QMD917332:QMF917381 QVZ917332:QWB917381 RFV917332:RFX917381 RPR917332:RPT917381 RZN917332:RZP917381 SJJ917332:SJL917381 STF917332:STH917381 TDB917332:TDD917381 TMX917332:TMZ917381 TWT917332:TWV917381 UGP917332:UGR917381 UQL917332:UQN917381 VAH917332:VAJ917381 VKD917332:VKF917381 VTZ917332:VUB917381 WDV917332:WDX917381 WNR917332:WNT917381 WXN917332:WXP917381 AW982868:BA982917 LB982868:LD982917 UX982868:UZ982917 AET982868:AEV982917 AOP982868:AOR982917 AYL982868:AYN982917 BIH982868:BIJ982917 BSD982868:BSF982917 CBZ982868:CCB982917 CLV982868:CLX982917 CVR982868:CVT982917 DFN982868:DFP982917 DPJ982868:DPL982917 DZF982868:DZH982917 EJB982868:EJD982917 ESX982868:ESZ982917 FCT982868:FCV982917 FMP982868:FMR982917 FWL982868:FWN982917 GGH982868:GGJ982917 GQD982868:GQF982917 GZZ982868:HAB982917 HJV982868:HJX982917 HTR982868:HTT982917 IDN982868:IDP982917 INJ982868:INL982917 IXF982868:IXH982917 JHB982868:JHD982917 JQX982868:JQZ982917 KAT982868:KAV982917 KKP982868:KKR982917 KUL982868:KUN982917 LEH982868:LEJ982917 LOD982868:LOF982917 LXZ982868:LYB982917 MHV982868:MHX982917 MRR982868:MRT982917 NBN982868:NBP982917 NLJ982868:NLL982917 NVF982868:NVH982917 OFB982868:OFD982917 OOX982868:OOZ982917 OYT982868:OYV982917 PIP982868:PIR982917 PSL982868:PSN982917 QCH982868:QCJ982917 QMD982868:QMF982917 QVZ982868:QWB982917 RFV982868:RFX982917 RPR982868:RPT982917 RZN982868:RZP982917 SJJ982868:SJL982917 STF982868:STH982917 TDB982868:TDD982917 TMX982868:TMZ982917 TWT982868:TWV982917 UGP982868:UGR982917 UQL982868:UQN982917 VAH982868:VAJ982917 VKD982868:VKF982917 VTZ982868:VUB982917 WDV982868:WDX982917 WNR982868:WNT982917 WXN982868:WXP982917 WXN7:WXP7 WNR7:WNT7 WDV7:WDX7 VTZ7:VUB7 VKD7:VKF7 VAH7:VAJ7 UQL7:UQN7 UGP7:UGR7 TWT7:TWV7 TMX7:TMZ7 TDB7:TDD7 STF7:STH7 SJJ7:SJL7 RZN7:RZP7 RPR7:RPT7 RFV7:RFX7 QVZ7:QWB7 QMD7:QMF7 QCH7:QCJ7 PSL7:PSN7 PIP7:PIR7 OYT7:OYV7 OOX7:OOZ7 OFB7:OFD7 NVF7:NVH7 NLJ7:NLL7 NBN7:NBP7 MRR7:MRT7 MHV7:MHX7 LXZ7:LYB7 LOD7:LOF7 LEH7:LEJ7 KUL7:KUN7 KKP7:KKR7 KAT7:KAV7 JQX7:JQZ7 JHB7:JHD7 IXF7:IXH7 INJ7:INL7 IDN7:IDP7 HTR7:HTT7 HJV7:HJX7 GZZ7:HAB7 GQD7:GQF7 GGH7:GGJ7 FWL7:FWN7 FMP7:FMR7 FCT7:FCV7 ESX7:ESZ7 EJB7:EJD7 DZF7:DZH7 DPJ7:DPL7 DFN7:DFP7 CVR7:CVT7 CLV7:CLX7 CBZ7:CCB7 BSD7:BSF7 BIH7:BIJ7 AYL7:AYN7 AOP7:AOR7 AET7:AEV7 UX7:UZ7 LB7:LD7">
      <formula1>0</formula1>
      <formula2>10000000000000</formula2>
    </dataValidation>
    <dataValidation type="whole" allowBlank="1" showInputMessage="1" showErrorMessage="1" sqref="KM65262:KO65468 UI65262:UK65468 AEE65262:AEG65468 AOA65262:AOC65468 AXW65262:AXY65468 BHS65262:BHU65468 BRO65262:BRQ65468 CBK65262:CBM65468 CLG65262:CLI65468 CVC65262:CVE65468 DEY65262:DFA65468 DOU65262:DOW65468 DYQ65262:DYS65468 EIM65262:EIO65468 ESI65262:ESK65468 FCE65262:FCG65468 FMA65262:FMC65468 FVW65262:FVY65468 GFS65262:GFU65468 GPO65262:GPQ65468 GZK65262:GZM65468 HJG65262:HJI65468 HTC65262:HTE65468 ICY65262:IDA65468 IMU65262:IMW65468 IWQ65262:IWS65468 JGM65262:JGO65468 JQI65262:JQK65468 KAE65262:KAG65468 KKA65262:KKC65468 KTW65262:KTY65468 LDS65262:LDU65468 LNO65262:LNQ65468 LXK65262:LXM65468 MHG65262:MHI65468 MRC65262:MRE65468 NAY65262:NBA65468 NKU65262:NKW65468 NUQ65262:NUS65468 OEM65262:OEO65468 OOI65262:OOK65468 OYE65262:OYG65468 PIA65262:PIC65468 PRW65262:PRY65468 QBS65262:QBU65468 QLO65262:QLQ65468 QVK65262:QVM65468 RFG65262:RFI65468 RPC65262:RPE65468 RYY65262:RZA65468 SIU65262:SIW65468 SSQ65262:SSS65468 TCM65262:TCO65468 TMI65262:TMK65468 TWE65262:TWG65468 UGA65262:UGC65468 UPW65262:UPY65468 UZS65262:UZU65468 VJO65262:VJQ65468 VTK65262:VTM65468 WDG65262:WDI65468 WNC65262:WNE65468 WWY65262:WXA65468 KM130798:KO131004 UI130798:UK131004 AEE130798:AEG131004 AOA130798:AOC131004 AXW130798:AXY131004 BHS130798:BHU131004 BRO130798:BRQ131004 CBK130798:CBM131004 CLG130798:CLI131004 CVC130798:CVE131004 DEY130798:DFA131004 DOU130798:DOW131004 DYQ130798:DYS131004 EIM130798:EIO131004 ESI130798:ESK131004 FCE130798:FCG131004 FMA130798:FMC131004 FVW130798:FVY131004 GFS130798:GFU131004 GPO130798:GPQ131004 GZK130798:GZM131004 HJG130798:HJI131004 HTC130798:HTE131004 ICY130798:IDA131004 IMU130798:IMW131004 IWQ130798:IWS131004 JGM130798:JGO131004 JQI130798:JQK131004 KAE130798:KAG131004 KKA130798:KKC131004 KTW130798:KTY131004 LDS130798:LDU131004 LNO130798:LNQ131004 LXK130798:LXM131004 MHG130798:MHI131004 MRC130798:MRE131004 NAY130798:NBA131004 NKU130798:NKW131004 NUQ130798:NUS131004 OEM130798:OEO131004 OOI130798:OOK131004 OYE130798:OYG131004 PIA130798:PIC131004 PRW130798:PRY131004 QBS130798:QBU131004 QLO130798:QLQ131004 QVK130798:QVM131004 RFG130798:RFI131004 RPC130798:RPE131004 RYY130798:RZA131004 SIU130798:SIW131004 SSQ130798:SSS131004 TCM130798:TCO131004 TMI130798:TMK131004 TWE130798:TWG131004 UGA130798:UGC131004 UPW130798:UPY131004 UZS130798:UZU131004 VJO130798:VJQ131004 VTK130798:VTM131004 WDG130798:WDI131004 WNC130798:WNE131004 WWY130798:WXA131004 KM196334:KO196540 UI196334:UK196540 AEE196334:AEG196540 AOA196334:AOC196540 AXW196334:AXY196540 BHS196334:BHU196540 BRO196334:BRQ196540 CBK196334:CBM196540 CLG196334:CLI196540 CVC196334:CVE196540 DEY196334:DFA196540 DOU196334:DOW196540 DYQ196334:DYS196540 EIM196334:EIO196540 ESI196334:ESK196540 FCE196334:FCG196540 FMA196334:FMC196540 FVW196334:FVY196540 GFS196334:GFU196540 GPO196334:GPQ196540 GZK196334:GZM196540 HJG196334:HJI196540 HTC196334:HTE196540 ICY196334:IDA196540 IMU196334:IMW196540 IWQ196334:IWS196540 JGM196334:JGO196540 JQI196334:JQK196540 KAE196334:KAG196540 KKA196334:KKC196540 KTW196334:KTY196540 LDS196334:LDU196540 LNO196334:LNQ196540 LXK196334:LXM196540 MHG196334:MHI196540 MRC196334:MRE196540 NAY196334:NBA196540 NKU196334:NKW196540 NUQ196334:NUS196540 OEM196334:OEO196540 OOI196334:OOK196540 OYE196334:OYG196540 PIA196334:PIC196540 PRW196334:PRY196540 QBS196334:QBU196540 QLO196334:QLQ196540 QVK196334:QVM196540 RFG196334:RFI196540 RPC196334:RPE196540 RYY196334:RZA196540 SIU196334:SIW196540 SSQ196334:SSS196540 TCM196334:TCO196540 TMI196334:TMK196540 TWE196334:TWG196540 UGA196334:UGC196540 UPW196334:UPY196540 UZS196334:UZU196540 VJO196334:VJQ196540 VTK196334:VTM196540 WDG196334:WDI196540 WNC196334:WNE196540 WWY196334:WXA196540 KM261870:KO262076 UI261870:UK262076 AEE261870:AEG262076 AOA261870:AOC262076 AXW261870:AXY262076 BHS261870:BHU262076 BRO261870:BRQ262076 CBK261870:CBM262076 CLG261870:CLI262076 CVC261870:CVE262076 DEY261870:DFA262076 DOU261870:DOW262076 DYQ261870:DYS262076 EIM261870:EIO262076 ESI261870:ESK262076 FCE261870:FCG262076 FMA261870:FMC262076 FVW261870:FVY262076 GFS261870:GFU262076 GPO261870:GPQ262076 GZK261870:GZM262076 HJG261870:HJI262076 HTC261870:HTE262076 ICY261870:IDA262076 IMU261870:IMW262076 IWQ261870:IWS262076 JGM261870:JGO262076 JQI261870:JQK262076 KAE261870:KAG262076 KKA261870:KKC262076 KTW261870:KTY262076 LDS261870:LDU262076 LNO261870:LNQ262076 LXK261870:LXM262076 MHG261870:MHI262076 MRC261870:MRE262076 NAY261870:NBA262076 NKU261870:NKW262076 NUQ261870:NUS262076 OEM261870:OEO262076 OOI261870:OOK262076 OYE261870:OYG262076 PIA261870:PIC262076 PRW261870:PRY262076 QBS261870:QBU262076 QLO261870:QLQ262076 QVK261870:QVM262076 RFG261870:RFI262076 RPC261870:RPE262076 RYY261870:RZA262076 SIU261870:SIW262076 SSQ261870:SSS262076 TCM261870:TCO262076 TMI261870:TMK262076 TWE261870:TWG262076 UGA261870:UGC262076 UPW261870:UPY262076 UZS261870:UZU262076 VJO261870:VJQ262076 VTK261870:VTM262076 WDG261870:WDI262076 WNC261870:WNE262076 WWY261870:WXA262076 KM327406:KO327612 UI327406:UK327612 AEE327406:AEG327612 AOA327406:AOC327612 AXW327406:AXY327612 BHS327406:BHU327612 BRO327406:BRQ327612 CBK327406:CBM327612 CLG327406:CLI327612 CVC327406:CVE327612 DEY327406:DFA327612 DOU327406:DOW327612 DYQ327406:DYS327612 EIM327406:EIO327612 ESI327406:ESK327612 FCE327406:FCG327612 FMA327406:FMC327612 FVW327406:FVY327612 GFS327406:GFU327612 GPO327406:GPQ327612 GZK327406:GZM327612 HJG327406:HJI327612 HTC327406:HTE327612 ICY327406:IDA327612 IMU327406:IMW327612 IWQ327406:IWS327612 JGM327406:JGO327612 JQI327406:JQK327612 KAE327406:KAG327612 KKA327406:KKC327612 KTW327406:KTY327612 LDS327406:LDU327612 LNO327406:LNQ327612 LXK327406:LXM327612 MHG327406:MHI327612 MRC327406:MRE327612 NAY327406:NBA327612 NKU327406:NKW327612 NUQ327406:NUS327612 OEM327406:OEO327612 OOI327406:OOK327612 OYE327406:OYG327612 PIA327406:PIC327612 PRW327406:PRY327612 QBS327406:QBU327612 QLO327406:QLQ327612 QVK327406:QVM327612 RFG327406:RFI327612 RPC327406:RPE327612 RYY327406:RZA327612 SIU327406:SIW327612 SSQ327406:SSS327612 TCM327406:TCO327612 TMI327406:TMK327612 TWE327406:TWG327612 UGA327406:UGC327612 UPW327406:UPY327612 UZS327406:UZU327612 VJO327406:VJQ327612 VTK327406:VTM327612 WDG327406:WDI327612 WNC327406:WNE327612 WWY327406:WXA327612 KM392942:KO393148 UI392942:UK393148 AEE392942:AEG393148 AOA392942:AOC393148 AXW392942:AXY393148 BHS392942:BHU393148 BRO392942:BRQ393148 CBK392942:CBM393148 CLG392942:CLI393148 CVC392942:CVE393148 DEY392942:DFA393148 DOU392942:DOW393148 DYQ392942:DYS393148 EIM392942:EIO393148 ESI392942:ESK393148 FCE392942:FCG393148 FMA392942:FMC393148 FVW392942:FVY393148 GFS392942:GFU393148 GPO392942:GPQ393148 GZK392942:GZM393148 HJG392942:HJI393148 HTC392942:HTE393148 ICY392942:IDA393148 IMU392942:IMW393148 IWQ392942:IWS393148 JGM392942:JGO393148 JQI392942:JQK393148 KAE392942:KAG393148 KKA392942:KKC393148 KTW392942:KTY393148 LDS392942:LDU393148 LNO392942:LNQ393148 LXK392942:LXM393148 MHG392942:MHI393148 MRC392942:MRE393148 NAY392942:NBA393148 NKU392942:NKW393148 NUQ392942:NUS393148 OEM392942:OEO393148 OOI392942:OOK393148 OYE392942:OYG393148 PIA392942:PIC393148 PRW392942:PRY393148 QBS392942:QBU393148 QLO392942:QLQ393148 QVK392942:QVM393148 RFG392942:RFI393148 RPC392942:RPE393148 RYY392942:RZA393148 SIU392942:SIW393148 SSQ392942:SSS393148 TCM392942:TCO393148 TMI392942:TMK393148 TWE392942:TWG393148 UGA392942:UGC393148 UPW392942:UPY393148 UZS392942:UZU393148 VJO392942:VJQ393148 VTK392942:VTM393148 WDG392942:WDI393148 WNC392942:WNE393148 WWY392942:WXA393148 KM458478:KO458684 UI458478:UK458684 AEE458478:AEG458684 AOA458478:AOC458684 AXW458478:AXY458684 BHS458478:BHU458684 BRO458478:BRQ458684 CBK458478:CBM458684 CLG458478:CLI458684 CVC458478:CVE458684 DEY458478:DFA458684 DOU458478:DOW458684 DYQ458478:DYS458684 EIM458478:EIO458684 ESI458478:ESK458684 FCE458478:FCG458684 FMA458478:FMC458684 FVW458478:FVY458684 GFS458478:GFU458684 GPO458478:GPQ458684 GZK458478:GZM458684 HJG458478:HJI458684 HTC458478:HTE458684 ICY458478:IDA458684 IMU458478:IMW458684 IWQ458478:IWS458684 JGM458478:JGO458684 JQI458478:JQK458684 KAE458478:KAG458684 KKA458478:KKC458684 KTW458478:KTY458684 LDS458478:LDU458684 LNO458478:LNQ458684 LXK458478:LXM458684 MHG458478:MHI458684 MRC458478:MRE458684 NAY458478:NBA458684 NKU458478:NKW458684 NUQ458478:NUS458684 OEM458478:OEO458684 OOI458478:OOK458684 OYE458478:OYG458684 PIA458478:PIC458684 PRW458478:PRY458684 QBS458478:QBU458684 QLO458478:QLQ458684 QVK458478:QVM458684 RFG458478:RFI458684 RPC458478:RPE458684 RYY458478:RZA458684 SIU458478:SIW458684 SSQ458478:SSS458684 TCM458478:TCO458684 TMI458478:TMK458684 TWE458478:TWG458684 UGA458478:UGC458684 UPW458478:UPY458684 UZS458478:UZU458684 VJO458478:VJQ458684 VTK458478:VTM458684 WDG458478:WDI458684 WNC458478:WNE458684 WWY458478:WXA458684 KM524014:KO524220 UI524014:UK524220 AEE524014:AEG524220 AOA524014:AOC524220 AXW524014:AXY524220 BHS524014:BHU524220 BRO524014:BRQ524220 CBK524014:CBM524220 CLG524014:CLI524220 CVC524014:CVE524220 DEY524014:DFA524220 DOU524014:DOW524220 DYQ524014:DYS524220 EIM524014:EIO524220 ESI524014:ESK524220 FCE524014:FCG524220 FMA524014:FMC524220 FVW524014:FVY524220 GFS524014:GFU524220 GPO524014:GPQ524220 GZK524014:GZM524220 HJG524014:HJI524220 HTC524014:HTE524220 ICY524014:IDA524220 IMU524014:IMW524220 IWQ524014:IWS524220 JGM524014:JGO524220 JQI524014:JQK524220 KAE524014:KAG524220 KKA524014:KKC524220 KTW524014:KTY524220 LDS524014:LDU524220 LNO524014:LNQ524220 LXK524014:LXM524220 MHG524014:MHI524220 MRC524014:MRE524220 NAY524014:NBA524220 NKU524014:NKW524220 NUQ524014:NUS524220 OEM524014:OEO524220 OOI524014:OOK524220 OYE524014:OYG524220 PIA524014:PIC524220 PRW524014:PRY524220 QBS524014:QBU524220 QLO524014:QLQ524220 QVK524014:QVM524220 RFG524014:RFI524220 RPC524014:RPE524220 RYY524014:RZA524220 SIU524014:SIW524220 SSQ524014:SSS524220 TCM524014:TCO524220 TMI524014:TMK524220 TWE524014:TWG524220 UGA524014:UGC524220 UPW524014:UPY524220 UZS524014:UZU524220 VJO524014:VJQ524220 VTK524014:VTM524220 WDG524014:WDI524220 WNC524014:WNE524220 WWY524014:WXA524220 KM589550:KO589756 UI589550:UK589756 AEE589550:AEG589756 AOA589550:AOC589756 AXW589550:AXY589756 BHS589550:BHU589756 BRO589550:BRQ589756 CBK589550:CBM589756 CLG589550:CLI589756 CVC589550:CVE589756 DEY589550:DFA589756 DOU589550:DOW589756 DYQ589550:DYS589756 EIM589550:EIO589756 ESI589550:ESK589756 FCE589550:FCG589756 FMA589550:FMC589756 FVW589550:FVY589756 GFS589550:GFU589756 GPO589550:GPQ589756 GZK589550:GZM589756 HJG589550:HJI589756 HTC589550:HTE589756 ICY589550:IDA589756 IMU589550:IMW589756 IWQ589550:IWS589756 JGM589550:JGO589756 JQI589550:JQK589756 KAE589550:KAG589756 KKA589550:KKC589756 KTW589550:KTY589756 LDS589550:LDU589756 LNO589550:LNQ589756 LXK589550:LXM589756 MHG589550:MHI589756 MRC589550:MRE589756 NAY589550:NBA589756 NKU589550:NKW589756 NUQ589550:NUS589756 OEM589550:OEO589756 OOI589550:OOK589756 OYE589550:OYG589756 PIA589550:PIC589756 PRW589550:PRY589756 QBS589550:QBU589756 QLO589550:QLQ589756 QVK589550:QVM589756 RFG589550:RFI589756 RPC589550:RPE589756 RYY589550:RZA589756 SIU589550:SIW589756 SSQ589550:SSS589756 TCM589550:TCO589756 TMI589550:TMK589756 TWE589550:TWG589756 UGA589550:UGC589756 UPW589550:UPY589756 UZS589550:UZU589756 VJO589550:VJQ589756 VTK589550:VTM589756 WDG589550:WDI589756 WNC589550:WNE589756 WWY589550:WXA589756 KM655086:KO655292 UI655086:UK655292 AEE655086:AEG655292 AOA655086:AOC655292 AXW655086:AXY655292 BHS655086:BHU655292 BRO655086:BRQ655292 CBK655086:CBM655292 CLG655086:CLI655292 CVC655086:CVE655292 DEY655086:DFA655292 DOU655086:DOW655292 DYQ655086:DYS655292 EIM655086:EIO655292 ESI655086:ESK655292 FCE655086:FCG655292 FMA655086:FMC655292 FVW655086:FVY655292 GFS655086:GFU655292 GPO655086:GPQ655292 GZK655086:GZM655292 HJG655086:HJI655292 HTC655086:HTE655292 ICY655086:IDA655292 IMU655086:IMW655292 IWQ655086:IWS655292 JGM655086:JGO655292 JQI655086:JQK655292 KAE655086:KAG655292 KKA655086:KKC655292 KTW655086:KTY655292 LDS655086:LDU655292 LNO655086:LNQ655292 LXK655086:LXM655292 MHG655086:MHI655292 MRC655086:MRE655292 NAY655086:NBA655292 NKU655086:NKW655292 NUQ655086:NUS655292 OEM655086:OEO655292 OOI655086:OOK655292 OYE655086:OYG655292 PIA655086:PIC655292 PRW655086:PRY655292 QBS655086:QBU655292 QLO655086:QLQ655292 QVK655086:QVM655292 RFG655086:RFI655292 RPC655086:RPE655292 RYY655086:RZA655292 SIU655086:SIW655292 SSQ655086:SSS655292 TCM655086:TCO655292 TMI655086:TMK655292 TWE655086:TWG655292 UGA655086:UGC655292 UPW655086:UPY655292 UZS655086:UZU655292 VJO655086:VJQ655292 VTK655086:VTM655292 WDG655086:WDI655292 WNC655086:WNE655292 WWY655086:WXA655292 KM720622:KO720828 UI720622:UK720828 AEE720622:AEG720828 AOA720622:AOC720828 AXW720622:AXY720828 BHS720622:BHU720828 BRO720622:BRQ720828 CBK720622:CBM720828 CLG720622:CLI720828 CVC720622:CVE720828 DEY720622:DFA720828 DOU720622:DOW720828 DYQ720622:DYS720828 EIM720622:EIO720828 ESI720622:ESK720828 FCE720622:FCG720828 FMA720622:FMC720828 FVW720622:FVY720828 GFS720622:GFU720828 GPO720622:GPQ720828 GZK720622:GZM720828 HJG720622:HJI720828 HTC720622:HTE720828 ICY720622:IDA720828 IMU720622:IMW720828 IWQ720622:IWS720828 JGM720622:JGO720828 JQI720622:JQK720828 KAE720622:KAG720828 KKA720622:KKC720828 KTW720622:KTY720828 LDS720622:LDU720828 LNO720622:LNQ720828 LXK720622:LXM720828 MHG720622:MHI720828 MRC720622:MRE720828 NAY720622:NBA720828 NKU720622:NKW720828 NUQ720622:NUS720828 OEM720622:OEO720828 OOI720622:OOK720828 OYE720622:OYG720828 PIA720622:PIC720828 PRW720622:PRY720828 QBS720622:QBU720828 QLO720622:QLQ720828 QVK720622:QVM720828 RFG720622:RFI720828 RPC720622:RPE720828 RYY720622:RZA720828 SIU720622:SIW720828 SSQ720622:SSS720828 TCM720622:TCO720828 TMI720622:TMK720828 TWE720622:TWG720828 UGA720622:UGC720828 UPW720622:UPY720828 UZS720622:UZU720828 VJO720622:VJQ720828 VTK720622:VTM720828 WDG720622:WDI720828 WNC720622:WNE720828 WWY720622:WXA720828 KM786158:KO786364 UI786158:UK786364 AEE786158:AEG786364 AOA786158:AOC786364 AXW786158:AXY786364 BHS786158:BHU786364 BRO786158:BRQ786364 CBK786158:CBM786364 CLG786158:CLI786364 CVC786158:CVE786364 DEY786158:DFA786364 DOU786158:DOW786364 DYQ786158:DYS786364 EIM786158:EIO786364 ESI786158:ESK786364 FCE786158:FCG786364 FMA786158:FMC786364 FVW786158:FVY786364 GFS786158:GFU786364 GPO786158:GPQ786364 GZK786158:GZM786364 HJG786158:HJI786364 HTC786158:HTE786364 ICY786158:IDA786364 IMU786158:IMW786364 IWQ786158:IWS786364 JGM786158:JGO786364 JQI786158:JQK786364 KAE786158:KAG786364 KKA786158:KKC786364 KTW786158:KTY786364 LDS786158:LDU786364 LNO786158:LNQ786364 LXK786158:LXM786364 MHG786158:MHI786364 MRC786158:MRE786364 NAY786158:NBA786364 NKU786158:NKW786364 NUQ786158:NUS786364 OEM786158:OEO786364 OOI786158:OOK786364 OYE786158:OYG786364 PIA786158:PIC786364 PRW786158:PRY786364 QBS786158:QBU786364 QLO786158:QLQ786364 QVK786158:QVM786364 RFG786158:RFI786364 RPC786158:RPE786364 RYY786158:RZA786364 SIU786158:SIW786364 SSQ786158:SSS786364 TCM786158:TCO786364 TMI786158:TMK786364 TWE786158:TWG786364 UGA786158:UGC786364 UPW786158:UPY786364 UZS786158:UZU786364 VJO786158:VJQ786364 VTK786158:VTM786364 WDG786158:WDI786364 WNC786158:WNE786364 WWY786158:WXA786364 KM851694:KO851900 UI851694:UK851900 AEE851694:AEG851900 AOA851694:AOC851900 AXW851694:AXY851900 BHS851694:BHU851900 BRO851694:BRQ851900 CBK851694:CBM851900 CLG851694:CLI851900 CVC851694:CVE851900 DEY851694:DFA851900 DOU851694:DOW851900 DYQ851694:DYS851900 EIM851694:EIO851900 ESI851694:ESK851900 FCE851694:FCG851900 FMA851694:FMC851900 FVW851694:FVY851900 GFS851694:GFU851900 GPO851694:GPQ851900 GZK851694:GZM851900 HJG851694:HJI851900 HTC851694:HTE851900 ICY851694:IDA851900 IMU851694:IMW851900 IWQ851694:IWS851900 JGM851694:JGO851900 JQI851694:JQK851900 KAE851694:KAG851900 KKA851694:KKC851900 KTW851694:KTY851900 LDS851694:LDU851900 LNO851694:LNQ851900 LXK851694:LXM851900 MHG851694:MHI851900 MRC851694:MRE851900 NAY851694:NBA851900 NKU851694:NKW851900 NUQ851694:NUS851900 OEM851694:OEO851900 OOI851694:OOK851900 OYE851694:OYG851900 PIA851694:PIC851900 PRW851694:PRY851900 QBS851694:QBU851900 QLO851694:QLQ851900 QVK851694:QVM851900 RFG851694:RFI851900 RPC851694:RPE851900 RYY851694:RZA851900 SIU851694:SIW851900 SSQ851694:SSS851900 TCM851694:TCO851900 TMI851694:TMK851900 TWE851694:TWG851900 UGA851694:UGC851900 UPW851694:UPY851900 UZS851694:UZU851900 VJO851694:VJQ851900 VTK851694:VTM851900 WDG851694:WDI851900 WNC851694:WNE851900 WWY851694:WXA851900 KM917230:KO917436 UI917230:UK917436 AEE917230:AEG917436 AOA917230:AOC917436 AXW917230:AXY917436 BHS917230:BHU917436 BRO917230:BRQ917436 CBK917230:CBM917436 CLG917230:CLI917436 CVC917230:CVE917436 DEY917230:DFA917436 DOU917230:DOW917436 DYQ917230:DYS917436 EIM917230:EIO917436 ESI917230:ESK917436 FCE917230:FCG917436 FMA917230:FMC917436 FVW917230:FVY917436 GFS917230:GFU917436 GPO917230:GPQ917436 GZK917230:GZM917436 HJG917230:HJI917436 HTC917230:HTE917436 ICY917230:IDA917436 IMU917230:IMW917436 IWQ917230:IWS917436 JGM917230:JGO917436 JQI917230:JQK917436 KAE917230:KAG917436 KKA917230:KKC917436 KTW917230:KTY917436 LDS917230:LDU917436 LNO917230:LNQ917436 LXK917230:LXM917436 MHG917230:MHI917436 MRC917230:MRE917436 NAY917230:NBA917436 NKU917230:NKW917436 NUQ917230:NUS917436 OEM917230:OEO917436 OOI917230:OOK917436 OYE917230:OYG917436 PIA917230:PIC917436 PRW917230:PRY917436 QBS917230:QBU917436 QLO917230:QLQ917436 QVK917230:QVM917436 RFG917230:RFI917436 RPC917230:RPE917436 RYY917230:RZA917436 SIU917230:SIW917436 SSQ917230:SSS917436 TCM917230:TCO917436 TMI917230:TMK917436 TWE917230:TWG917436 UGA917230:UGC917436 UPW917230:UPY917436 UZS917230:UZU917436 VJO917230:VJQ917436 VTK917230:VTM917436 WDG917230:WDI917436 WNC917230:WNE917436 WWY917230:WXA917436 KM982766:KO982972 UI982766:UK982972 AEE982766:AEG982972 AOA982766:AOC982972 AXW982766:AXY982972 BHS982766:BHU982972 BRO982766:BRQ982972 CBK982766:CBM982972 CLG982766:CLI982972 CVC982766:CVE982972 DEY982766:DFA982972 DOU982766:DOW982972 DYQ982766:DYS982972 EIM982766:EIO982972 ESI982766:ESK982972 FCE982766:FCG982972 FMA982766:FMC982972 FVW982766:FVY982972 GFS982766:GFU982972 GPO982766:GPQ982972 GZK982766:GZM982972 HJG982766:HJI982972 HTC982766:HTE982972 ICY982766:IDA982972 IMU982766:IMW982972 IWQ982766:IWS982972 JGM982766:JGO982972 JQI982766:JQK982972 KAE982766:KAG982972 KKA982766:KKC982972 KTW982766:KTY982972 LDS982766:LDU982972 LNO982766:LNQ982972 LXK982766:LXM982972 MHG982766:MHI982972 MRC982766:MRE982972 NAY982766:NBA982972 NKU982766:NKW982972 NUQ982766:NUS982972 OEM982766:OEO982972 OOI982766:OOK982972 OYE982766:OYG982972 PIA982766:PIC982972 PRW982766:PRY982972 QBS982766:QBU982972 QLO982766:QLQ982972 QVK982766:QVM982972 RFG982766:RFI982972 RPC982766:RPE982972 RYY982766:RZA982972 SIU982766:SIW982972 SSQ982766:SSS982972 TCM982766:TCO982972 TMI982766:TMK982972 TWE982766:TWG982972 UGA982766:UGC982972 UPW982766:UPY982972 UZS982766:UZU982972 VJO982766:VJQ982972 VTK982766:VTM982972 WDG982766:WDI982972 WNC982766:WNE982972 WWY982766:WXA982972 AB982766:AD982972 AB917230:AD917436 AB851694:AD851900 AB786158:AD786364 AB720622:AD720828 AB655086:AD655292 AB589550:AD589756 AB524014:AD524220 AB458478:AD458684 AB392942:AD393148 AB327406:AD327612 AB261870:AD262076 AB196334:AD196540 AB130798:AD131004 AB65262:AD65468 WWY5:WXA11 KM5:KO11 UI5:UK11 AEE5:AEG11 AOA5:AOC11 AXW5:AXY11 BHS5:BHU11 BRO5:BRQ11 CBK5:CBM11 CLG5:CLI11 CVC5:CVE11 DEY5:DFA11 DOU5:DOW11 DYQ5:DYS11 EIM5:EIO11 ESI5:ESK11 FCE5:FCG11 FMA5:FMC11 FVW5:FVY11 GFS5:GFU11 GPO5:GPQ11 GZK5:GZM11 HJG5:HJI11 HTC5:HTE11 ICY5:IDA11 IMU5:IMW11 IWQ5:IWS11 JGM5:JGO11 JQI5:JQK11 KAE5:KAG11 KKA5:KKC11 KTW5:KTY11 LDS5:LDU11 LNO5:LNQ11 LXK5:LXM11 MHG5:MHI11 MRC5:MRE11 NAY5:NBA11 NKU5:NKW11 NUQ5:NUS11 OEM5:OEO11 OOI5:OOK11 OYE5:OYG11 PIA5:PIC11 PRW5:PRY11 QBS5:QBU11 QLO5:QLQ11 QVK5:QVM11 RFG5:RFI11 RPC5:RPE11 RYY5:RZA11 SIU5:SIW11 SSQ5:SSS11 TCM5:TCO11 TMI5:TMK11 TWE5:TWG11 UGA5:UGC11 UPW5:UPY11 UZS5:UZU11 VJO5:VJQ11 VTK5:VTM11 WDG5:WDI11 WNC5:WNE11">
      <formula1>0</formula1>
      <formula2>10000000000000000</formula2>
    </dataValidation>
    <dataValidation type="whole" allowBlank="1" showInputMessage="1" showErrorMessage="1" sqref="AE65262:AG65468 KP65262:KQ65468 UL65262:UM65468 AEH65262:AEI65468 AOD65262:AOE65468 AXZ65262:AYA65468 BHV65262:BHW65468 BRR65262:BRS65468 CBN65262:CBO65468 CLJ65262:CLK65468 CVF65262:CVG65468 DFB65262:DFC65468 DOX65262:DOY65468 DYT65262:DYU65468 EIP65262:EIQ65468 ESL65262:ESM65468 FCH65262:FCI65468 FMD65262:FME65468 FVZ65262:FWA65468 GFV65262:GFW65468 GPR65262:GPS65468 GZN65262:GZO65468 HJJ65262:HJK65468 HTF65262:HTG65468 IDB65262:IDC65468 IMX65262:IMY65468 IWT65262:IWU65468 JGP65262:JGQ65468 JQL65262:JQM65468 KAH65262:KAI65468 KKD65262:KKE65468 KTZ65262:KUA65468 LDV65262:LDW65468 LNR65262:LNS65468 LXN65262:LXO65468 MHJ65262:MHK65468 MRF65262:MRG65468 NBB65262:NBC65468 NKX65262:NKY65468 NUT65262:NUU65468 OEP65262:OEQ65468 OOL65262:OOM65468 OYH65262:OYI65468 PID65262:PIE65468 PRZ65262:PSA65468 QBV65262:QBW65468 QLR65262:QLS65468 QVN65262:QVO65468 RFJ65262:RFK65468 RPF65262:RPG65468 RZB65262:RZC65468 SIX65262:SIY65468 SST65262:SSU65468 TCP65262:TCQ65468 TML65262:TMM65468 TWH65262:TWI65468 UGD65262:UGE65468 UPZ65262:UQA65468 UZV65262:UZW65468 VJR65262:VJS65468 VTN65262:VTO65468 WDJ65262:WDK65468 WNF65262:WNG65468 WXB65262:WXC65468 AE130798:AG131004 KP130798:KQ131004 UL130798:UM131004 AEH130798:AEI131004 AOD130798:AOE131004 AXZ130798:AYA131004 BHV130798:BHW131004 BRR130798:BRS131004 CBN130798:CBO131004 CLJ130798:CLK131004 CVF130798:CVG131004 DFB130798:DFC131004 DOX130798:DOY131004 DYT130798:DYU131004 EIP130798:EIQ131004 ESL130798:ESM131004 FCH130798:FCI131004 FMD130798:FME131004 FVZ130798:FWA131004 GFV130798:GFW131004 GPR130798:GPS131004 GZN130798:GZO131004 HJJ130798:HJK131004 HTF130798:HTG131004 IDB130798:IDC131004 IMX130798:IMY131004 IWT130798:IWU131004 JGP130798:JGQ131004 JQL130798:JQM131004 KAH130798:KAI131004 KKD130798:KKE131004 KTZ130798:KUA131004 LDV130798:LDW131004 LNR130798:LNS131004 LXN130798:LXO131004 MHJ130798:MHK131004 MRF130798:MRG131004 NBB130798:NBC131004 NKX130798:NKY131004 NUT130798:NUU131004 OEP130798:OEQ131004 OOL130798:OOM131004 OYH130798:OYI131004 PID130798:PIE131004 PRZ130798:PSA131004 QBV130798:QBW131004 QLR130798:QLS131004 QVN130798:QVO131004 RFJ130798:RFK131004 RPF130798:RPG131004 RZB130798:RZC131004 SIX130798:SIY131004 SST130798:SSU131004 TCP130798:TCQ131004 TML130798:TMM131004 TWH130798:TWI131004 UGD130798:UGE131004 UPZ130798:UQA131004 UZV130798:UZW131004 VJR130798:VJS131004 VTN130798:VTO131004 WDJ130798:WDK131004 WNF130798:WNG131004 WXB130798:WXC131004 AE196334:AG196540 KP196334:KQ196540 UL196334:UM196540 AEH196334:AEI196540 AOD196334:AOE196540 AXZ196334:AYA196540 BHV196334:BHW196540 BRR196334:BRS196540 CBN196334:CBO196540 CLJ196334:CLK196540 CVF196334:CVG196540 DFB196334:DFC196540 DOX196334:DOY196540 DYT196334:DYU196540 EIP196334:EIQ196540 ESL196334:ESM196540 FCH196334:FCI196540 FMD196334:FME196540 FVZ196334:FWA196540 GFV196334:GFW196540 GPR196334:GPS196540 GZN196334:GZO196540 HJJ196334:HJK196540 HTF196334:HTG196540 IDB196334:IDC196540 IMX196334:IMY196540 IWT196334:IWU196540 JGP196334:JGQ196540 JQL196334:JQM196540 KAH196334:KAI196540 KKD196334:KKE196540 KTZ196334:KUA196540 LDV196334:LDW196540 LNR196334:LNS196540 LXN196334:LXO196540 MHJ196334:MHK196540 MRF196334:MRG196540 NBB196334:NBC196540 NKX196334:NKY196540 NUT196334:NUU196540 OEP196334:OEQ196540 OOL196334:OOM196540 OYH196334:OYI196540 PID196334:PIE196540 PRZ196334:PSA196540 QBV196334:QBW196540 QLR196334:QLS196540 QVN196334:QVO196540 RFJ196334:RFK196540 RPF196334:RPG196540 RZB196334:RZC196540 SIX196334:SIY196540 SST196334:SSU196540 TCP196334:TCQ196540 TML196334:TMM196540 TWH196334:TWI196540 UGD196334:UGE196540 UPZ196334:UQA196540 UZV196334:UZW196540 VJR196334:VJS196540 VTN196334:VTO196540 WDJ196334:WDK196540 WNF196334:WNG196540 WXB196334:WXC196540 AE261870:AG262076 KP261870:KQ262076 UL261870:UM262076 AEH261870:AEI262076 AOD261870:AOE262076 AXZ261870:AYA262076 BHV261870:BHW262076 BRR261870:BRS262076 CBN261870:CBO262076 CLJ261870:CLK262076 CVF261870:CVG262076 DFB261870:DFC262076 DOX261870:DOY262076 DYT261870:DYU262076 EIP261870:EIQ262076 ESL261870:ESM262076 FCH261870:FCI262076 FMD261870:FME262076 FVZ261870:FWA262076 GFV261870:GFW262076 GPR261870:GPS262076 GZN261870:GZO262076 HJJ261870:HJK262076 HTF261870:HTG262076 IDB261870:IDC262076 IMX261870:IMY262076 IWT261870:IWU262076 JGP261870:JGQ262076 JQL261870:JQM262076 KAH261870:KAI262076 KKD261870:KKE262076 KTZ261870:KUA262076 LDV261870:LDW262076 LNR261870:LNS262076 LXN261870:LXO262076 MHJ261870:MHK262076 MRF261870:MRG262076 NBB261870:NBC262076 NKX261870:NKY262076 NUT261870:NUU262076 OEP261870:OEQ262076 OOL261870:OOM262076 OYH261870:OYI262076 PID261870:PIE262076 PRZ261870:PSA262076 QBV261870:QBW262076 QLR261870:QLS262076 QVN261870:QVO262076 RFJ261870:RFK262076 RPF261870:RPG262076 RZB261870:RZC262076 SIX261870:SIY262076 SST261870:SSU262076 TCP261870:TCQ262076 TML261870:TMM262076 TWH261870:TWI262076 UGD261870:UGE262076 UPZ261870:UQA262076 UZV261870:UZW262076 VJR261870:VJS262076 VTN261870:VTO262076 WDJ261870:WDK262076 WNF261870:WNG262076 WXB261870:WXC262076 AE327406:AG327612 KP327406:KQ327612 UL327406:UM327612 AEH327406:AEI327612 AOD327406:AOE327612 AXZ327406:AYA327612 BHV327406:BHW327612 BRR327406:BRS327612 CBN327406:CBO327612 CLJ327406:CLK327612 CVF327406:CVG327612 DFB327406:DFC327612 DOX327406:DOY327612 DYT327406:DYU327612 EIP327406:EIQ327612 ESL327406:ESM327612 FCH327406:FCI327612 FMD327406:FME327612 FVZ327406:FWA327612 GFV327406:GFW327612 GPR327406:GPS327612 GZN327406:GZO327612 HJJ327406:HJK327612 HTF327406:HTG327612 IDB327406:IDC327612 IMX327406:IMY327612 IWT327406:IWU327612 JGP327406:JGQ327612 JQL327406:JQM327612 KAH327406:KAI327612 KKD327406:KKE327612 KTZ327406:KUA327612 LDV327406:LDW327612 LNR327406:LNS327612 LXN327406:LXO327612 MHJ327406:MHK327612 MRF327406:MRG327612 NBB327406:NBC327612 NKX327406:NKY327612 NUT327406:NUU327612 OEP327406:OEQ327612 OOL327406:OOM327612 OYH327406:OYI327612 PID327406:PIE327612 PRZ327406:PSA327612 QBV327406:QBW327612 QLR327406:QLS327612 QVN327406:QVO327612 RFJ327406:RFK327612 RPF327406:RPG327612 RZB327406:RZC327612 SIX327406:SIY327612 SST327406:SSU327612 TCP327406:TCQ327612 TML327406:TMM327612 TWH327406:TWI327612 UGD327406:UGE327612 UPZ327406:UQA327612 UZV327406:UZW327612 VJR327406:VJS327612 VTN327406:VTO327612 WDJ327406:WDK327612 WNF327406:WNG327612 WXB327406:WXC327612 AE392942:AG393148 KP392942:KQ393148 UL392942:UM393148 AEH392942:AEI393148 AOD392942:AOE393148 AXZ392942:AYA393148 BHV392942:BHW393148 BRR392942:BRS393148 CBN392942:CBO393148 CLJ392942:CLK393148 CVF392942:CVG393148 DFB392942:DFC393148 DOX392942:DOY393148 DYT392942:DYU393148 EIP392942:EIQ393148 ESL392942:ESM393148 FCH392942:FCI393148 FMD392942:FME393148 FVZ392942:FWA393148 GFV392942:GFW393148 GPR392942:GPS393148 GZN392942:GZO393148 HJJ392942:HJK393148 HTF392942:HTG393148 IDB392942:IDC393148 IMX392942:IMY393148 IWT392942:IWU393148 JGP392942:JGQ393148 JQL392942:JQM393148 KAH392942:KAI393148 KKD392942:KKE393148 KTZ392942:KUA393148 LDV392942:LDW393148 LNR392942:LNS393148 LXN392942:LXO393148 MHJ392942:MHK393148 MRF392942:MRG393148 NBB392942:NBC393148 NKX392942:NKY393148 NUT392942:NUU393148 OEP392942:OEQ393148 OOL392942:OOM393148 OYH392942:OYI393148 PID392942:PIE393148 PRZ392942:PSA393148 QBV392942:QBW393148 QLR392942:QLS393148 QVN392942:QVO393148 RFJ392942:RFK393148 RPF392942:RPG393148 RZB392942:RZC393148 SIX392942:SIY393148 SST392942:SSU393148 TCP392942:TCQ393148 TML392942:TMM393148 TWH392942:TWI393148 UGD392942:UGE393148 UPZ392942:UQA393148 UZV392942:UZW393148 VJR392942:VJS393148 VTN392942:VTO393148 WDJ392942:WDK393148 WNF392942:WNG393148 WXB392942:WXC393148 AE458478:AG458684 KP458478:KQ458684 UL458478:UM458684 AEH458478:AEI458684 AOD458478:AOE458684 AXZ458478:AYA458684 BHV458478:BHW458684 BRR458478:BRS458684 CBN458478:CBO458684 CLJ458478:CLK458684 CVF458478:CVG458684 DFB458478:DFC458684 DOX458478:DOY458684 DYT458478:DYU458684 EIP458478:EIQ458684 ESL458478:ESM458684 FCH458478:FCI458684 FMD458478:FME458684 FVZ458478:FWA458684 GFV458478:GFW458684 GPR458478:GPS458684 GZN458478:GZO458684 HJJ458478:HJK458684 HTF458478:HTG458684 IDB458478:IDC458684 IMX458478:IMY458684 IWT458478:IWU458684 JGP458478:JGQ458684 JQL458478:JQM458684 KAH458478:KAI458684 KKD458478:KKE458684 KTZ458478:KUA458684 LDV458478:LDW458684 LNR458478:LNS458684 LXN458478:LXO458684 MHJ458478:MHK458684 MRF458478:MRG458684 NBB458478:NBC458684 NKX458478:NKY458684 NUT458478:NUU458684 OEP458478:OEQ458684 OOL458478:OOM458684 OYH458478:OYI458684 PID458478:PIE458684 PRZ458478:PSA458684 QBV458478:QBW458684 QLR458478:QLS458684 QVN458478:QVO458684 RFJ458478:RFK458684 RPF458478:RPG458684 RZB458478:RZC458684 SIX458478:SIY458684 SST458478:SSU458684 TCP458478:TCQ458684 TML458478:TMM458684 TWH458478:TWI458684 UGD458478:UGE458684 UPZ458478:UQA458684 UZV458478:UZW458684 VJR458478:VJS458684 VTN458478:VTO458684 WDJ458478:WDK458684 WNF458478:WNG458684 WXB458478:WXC458684 AE524014:AG524220 KP524014:KQ524220 UL524014:UM524220 AEH524014:AEI524220 AOD524014:AOE524220 AXZ524014:AYA524220 BHV524014:BHW524220 BRR524014:BRS524220 CBN524014:CBO524220 CLJ524014:CLK524220 CVF524014:CVG524220 DFB524014:DFC524220 DOX524014:DOY524220 DYT524014:DYU524220 EIP524014:EIQ524220 ESL524014:ESM524220 FCH524014:FCI524220 FMD524014:FME524220 FVZ524014:FWA524220 GFV524014:GFW524220 GPR524014:GPS524220 GZN524014:GZO524220 HJJ524014:HJK524220 HTF524014:HTG524220 IDB524014:IDC524220 IMX524014:IMY524220 IWT524014:IWU524220 JGP524014:JGQ524220 JQL524014:JQM524220 KAH524014:KAI524220 KKD524014:KKE524220 KTZ524014:KUA524220 LDV524014:LDW524220 LNR524014:LNS524220 LXN524014:LXO524220 MHJ524014:MHK524220 MRF524014:MRG524220 NBB524014:NBC524220 NKX524014:NKY524220 NUT524014:NUU524220 OEP524014:OEQ524220 OOL524014:OOM524220 OYH524014:OYI524220 PID524014:PIE524220 PRZ524014:PSA524220 QBV524014:QBW524220 QLR524014:QLS524220 QVN524014:QVO524220 RFJ524014:RFK524220 RPF524014:RPG524220 RZB524014:RZC524220 SIX524014:SIY524220 SST524014:SSU524220 TCP524014:TCQ524220 TML524014:TMM524220 TWH524014:TWI524220 UGD524014:UGE524220 UPZ524014:UQA524220 UZV524014:UZW524220 VJR524014:VJS524220 VTN524014:VTO524220 WDJ524014:WDK524220 WNF524014:WNG524220 WXB524014:WXC524220 AE589550:AG589756 KP589550:KQ589756 UL589550:UM589756 AEH589550:AEI589756 AOD589550:AOE589756 AXZ589550:AYA589756 BHV589550:BHW589756 BRR589550:BRS589756 CBN589550:CBO589756 CLJ589550:CLK589756 CVF589550:CVG589756 DFB589550:DFC589756 DOX589550:DOY589756 DYT589550:DYU589756 EIP589550:EIQ589756 ESL589550:ESM589756 FCH589550:FCI589756 FMD589550:FME589756 FVZ589550:FWA589756 GFV589550:GFW589756 GPR589550:GPS589756 GZN589550:GZO589756 HJJ589550:HJK589756 HTF589550:HTG589756 IDB589550:IDC589756 IMX589550:IMY589756 IWT589550:IWU589756 JGP589550:JGQ589756 JQL589550:JQM589756 KAH589550:KAI589756 KKD589550:KKE589756 KTZ589550:KUA589756 LDV589550:LDW589756 LNR589550:LNS589756 LXN589550:LXO589756 MHJ589550:MHK589756 MRF589550:MRG589756 NBB589550:NBC589756 NKX589550:NKY589756 NUT589550:NUU589756 OEP589550:OEQ589756 OOL589550:OOM589756 OYH589550:OYI589756 PID589550:PIE589756 PRZ589550:PSA589756 QBV589550:QBW589756 QLR589550:QLS589756 QVN589550:QVO589756 RFJ589550:RFK589756 RPF589550:RPG589756 RZB589550:RZC589756 SIX589550:SIY589756 SST589550:SSU589756 TCP589550:TCQ589756 TML589550:TMM589756 TWH589550:TWI589756 UGD589550:UGE589756 UPZ589550:UQA589756 UZV589550:UZW589756 VJR589550:VJS589756 VTN589550:VTO589756 WDJ589550:WDK589756 WNF589550:WNG589756 WXB589550:WXC589756 AE655086:AG655292 KP655086:KQ655292 UL655086:UM655292 AEH655086:AEI655292 AOD655086:AOE655292 AXZ655086:AYA655292 BHV655086:BHW655292 BRR655086:BRS655292 CBN655086:CBO655292 CLJ655086:CLK655292 CVF655086:CVG655292 DFB655086:DFC655292 DOX655086:DOY655292 DYT655086:DYU655292 EIP655086:EIQ655292 ESL655086:ESM655292 FCH655086:FCI655292 FMD655086:FME655292 FVZ655086:FWA655292 GFV655086:GFW655292 GPR655086:GPS655292 GZN655086:GZO655292 HJJ655086:HJK655292 HTF655086:HTG655292 IDB655086:IDC655292 IMX655086:IMY655292 IWT655086:IWU655292 JGP655086:JGQ655292 JQL655086:JQM655292 KAH655086:KAI655292 KKD655086:KKE655292 KTZ655086:KUA655292 LDV655086:LDW655292 LNR655086:LNS655292 LXN655086:LXO655292 MHJ655086:MHK655292 MRF655086:MRG655292 NBB655086:NBC655292 NKX655086:NKY655292 NUT655086:NUU655292 OEP655086:OEQ655292 OOL655086:OOM655292 OYH655086:OYI655292 PID655086:PIE655292 PRZ655086:PSA655292 QBV655086:QBW655292 QLR655086:QLS655292 QVN655086:QVO655292 RFJ655086:RFK655292 RPF655086:RPG655292 RZB655086:RZC655292 SIX655086:SIY655292 SST655086:SSU655292 TCP655086:TCQ655292 TML655086:TMM655292 TWH655086:TWI655292 UGD655086:UGE655292 UPZ655086:UQA655292 UZV655086:UZW655292 VJR655086:VJS655292 VTN655086:VTO655292 WDJ655086:WDK655292 WNF655086:WNG655292 WXB655086:WXC655292 AE720622:AG720828 KP720622:KQ720828 UL720622:UM720828 AEH720622:AEI720828 AOD720622:AOE720828 AXZ720622:AYA720828 BHV720622:BHW720828 BRR720622:BRS720828 CBN720622:CBO720828 CLJ720622:CLK720828 CVF720622:CVG720828 DFB720622:DFC720828 DOX720622:DOY720828 DYT720622:DYU720828 EIP720622:EIQ720828 ESL720622:ESM720828 FCH720622:FCI720828 FMD720622:FME720828 FVZ720622:FWA720828 GFV720622:GFW720828 GPR720622:GPS720828 GZN720622:GZO720828 HJJ720622:HJK720828 HTF720622:HTG720828 IDB720622:IDC720828 IMX720622:IMY720828 IWT720622:IWU720828 JGP720622:JGQ720828 JQL720622:JQM720828 KAH720622:KAI720828 KKD720622:KKE720828 KTZ720622:KUA720828 LDV720622:LDW720828 LNR720622:LNS720828 LXN720622:LXO720828 MHJ720622:MHK720828 MRF720622:MRG720828 NBB720622:NBC720828 NKX720622:NKY720828 NUT720622:NUU720828 OEP720622:OEQ720828 OOL720622:OOM720828 OYH720622:OYI720828 PID720622:PIE720828 PRZ720622:PSA720828 QBV720622:QBW720828 QLR720622:QLS720828 QVN720622:QVO720828 RFJ720622:RFK720828 RPF720622:RPG720828 RZB720622:RZC720828 SIX720622:SIY720828 SST720622:SSU720828 TCP720622:TCQ720828 TML720622:TMM720828 TWH720622:TWI720828 UGD720622:UGE720828 UPZ720622:UQA720828 UZV720622:UZW720828 VJR720622:VJS720828 VTN720622:VTO720828 WDJ720622:WDK720828 WNF720622:WNG720828 WXB720622:WXC720828 AE786158:AG786364 KP786158:KQ786364 UL786158:UM786364 AEH786158:AEI786364 AOD786158:AOE786364 AXZ786158:AYA786364 BHV786158:BHW786364 BRR786158:BRS786364 CBN786158:CBO786364 CLJ786158:CLK786364 CVF786158:CVG786364 DFB786158:DFC786364 DOX786158:DOY786364 DYT786158:DYU786364 EIP786158:EIQ786364 ESL786158:ESM786364 FCH786158:FCI786364 FMD786158:FME786364 FVZ786158:FWA786364 GFV786158:GFW786364 GPR786158:GPS786364 GZN786158:GZO786364 HJJ786158:HJK786364 HTF786158:HTG786364 IDB786158:IDC786364 IMX786158:IMY786364 IWT786158:IWU786364 JGP786158:JGQ786364 JQL786158:JQM786364 KAH786158:KAI786364 KKD786158:KKE786364 KTZ786158:KUA786364 LDV786158:LDW786364 LNR786158:LNS786364 LXN786158:LXO786364 MHJ786158:MHK786364 MRF786158:MRG786364 NBB786158:NBC786364 NKX786158:NKY786364 NUT786158:NUU786364 OEP786158:OEQ786364 OOL786158:OOM786364 OYH786158:OYI786364 PID786158:PIE786364 PRZ786158:PSA786364 QBV786158:QBW786364 QLR786158:QLS786364 QVN786158:QVO786364 RFJ786158:RFK786364 RPF786158:RPG786364 RZB786158:RZC786364 SIX786158:SIY786364 SST786158:SSU786364 TCP786158:TCQ786364 TML786158:TMM786364 TWH786158:TWI786364 UGD786158:UGE786364 UPZ786158:UQA786364 UZV786158:UZW786364 VJR786158:VJS786364 VTN786158:VTO786364 WDJ786158:WDK786364 WNF786158:WNG786364 WXB786158:WXC786364 AE851694:AG851900 KP851694:KQ851900 UL851694:UM851900 AEH851694:AEI851900 AOD851694:AOE851900 AXZ851694:AYA851900 BHV851694:BHW851900 BRR851694:BRS851900 CBN851694:CBO851900 CLJ851694:CLK851900 CVF851694:CVG851900 DFB851694:DFC851900 DOX851694:DOY851900 DYT851694:DYU851900 EIP851694:EIQ851900 ESL851694:ESM851900 FCH851694:FCI851900 FMD851694:FME851900 FVZ851694:FWA851900 GFV851694:GFW851900 GPR851694:GPS851900 GZN851694:GZO851900 HJJ851694:HJK851900 HTF851694:HTG851900 IDB851694:IDC851900 IMX851694:IMY851900 IWT851694:IWU851900 JGP851694:JGQ851900 JQL851694:JQM851900 KAH851694:KAI851900 KKD851694:KKE851900 KTZ851694:KUA851900 LDV851694:LDW851900 LNR851694:LNS851900 LXN851694:LXO851900 MHJ851694:MHK851900 MRF851694:MRG851900 NBB851694:NBC851900 NKX851694:NKY851900 NUT851694:NUU851900 OEP851694:OEQ851900 OOL851694:OOM851900 OYH851694:OYI851900 PID851694:PIE851900 PRZ851694:PSA851900 QBV851694:QBW851900 QLR851694:QLS851900 QVN851694:QVO851900 RFJ851694:RFK851900 RPF851694:RPG851900 RZB851694:RZC851900 SIX851694:SIY851900 SST851694:SSU851900 TCP851694:TCQ851900 TML851694:TMM851900 TWH851694:TWI851900 UGD851694:UGE851900 UPZ851694:UQA851900 UZV851694:UZW851900 VJR851694:VJS851900 VTN851694:VTO851900 WDJ851694:WDK851900 WNF851694:WNG851900 WXB851694:WXC851900 AE917230:AG917436 KP917230:KQ917436 UL917230:UM917436 AEH917230:AEI917436 AOD917230:AOE917436 AXZ917230:AYA917436 BHV917230:BHW917436 BRR917230:BRS917436 CBN917230:CBO917436 CLJ917230:CLK917436 CVF917230:CVG917436 DFB917230:DFC917436 DOX917230:DOY917436 DYT917230:DYU917436 EIP917230:EIQ917436 ESL917230:ESM917436 FCH917230:FCI917436 FMD917230:FME917436 FVZ917230:FWA917436 GFV917230:GFW917436 GPR917230:GPS917436 GZN917230:GZO917436 HJJ917230:HJK917436 HTF917230:HTG917436 IDB917230:IDC917436 IMX917230:IMY917436 IWT917230:IWU917436 JGP917230:JGQ917436 JQL917230:JQM917436 KAH917230:KAI917436 KKD917230:KKE917436 KTZ917230:KUA917436 LDV917230:LDW917436 LNR917230:LNS917436 LXN917230:LXO917436 MHJ917230:MHK917436 MRF917230:MRG917436 NBB917230:NBC917436 NKX917230:NKY917436 NUT917230:NUU917436 OEP917230:OEQ917436 OOL917230:OOM917436 OYH917230:OYI917436 PID917230:PIE917436 PRZ917230:PSA917436 QBV917230:QBW917436 QLR917230:QLS917436 QVN917230:QVO917436 RFJ917230:RFK917436 RPF917230:RPG917436 RZB917230:RZC917436 SIX917230:SIY917436 SST917230:SSU917436 TCP917230:TCQ917436 TML917230:TMM917436 TWH917230:TWI917436 UGD917230:UGE917436 UPZ917230:UQA917436 UZV917230:UZW917436 VJR917230:VJS917436 VTN917230:VTO917436 WDJ917230:WDK917436 WNF917230:WNG917436 WXB917230:WXC917436 AE982766:AG982972 KP982766:KQ982972 UL982766:UM982972 AEH982766:AEI982972 AOD982766:AOE982972 AXZ982766:AYA982972 BHV982766:BHW982972 BRR982766:BRS982972 CBN982766:CBO982972 CLJ982766:CLK982972 CVF982766:CVG982972 DFB982766:DFC982972 DOX982766:DOY982972 DYT982766:DYU982972 EIP982766:EIQ982972 ESL982766:ESM982972 FCH982766:FCI982972 FMD982766:FME982972 FVZ982766:FWA982972 GFV982766:GFW982972 GPR982766:GPS982972 GZN982766:GZO982972 HJJ982766:HJK982972 HTF982766:HTG982972 IDB982766:IDC982972 IMX982766:IMY982972 IWT982766:IWU982972 JGP982766:JGQ982972 JQL982766:JQM982972 KAH982766:KAI982972 KKD982766:KKE982972 KTZ982766:KUA982972 LDV982766:LDW982972 LNR982766:LNS982972 LXN982766:LXO982972 MHJ982766:MHK982972 MRF982766:MRG982972 NBB982766:NBC982972 NKX982766:NKY982972 NUT982766:NUU982972 OEP982766:OEQ982972 OOL982766:OOM982972 OYH982766:OYI982972 PID982766:PIE982972 PRZ982766:PSA982972 QBV982766:QBW982972 QLR982766:QLS982972 QVN982766:QVO982972 RFJ982766:RFK982972 RPF982766:RPG982972 RZB982766:RZC982972 SIX982766:SIY982972 SST982766:SSU982972 TCP982766:TCQ982972 TML982766:TMM982972 TWH982766:TWI982972 UGD982766:UGE982972 UPZ982766:UQA982972 UZV982766:UZW982972 VJR982766:VJS982972 VTN982766:VTO982972 WDJ982766:WDK982972 WNF982766:WNG982972 WXB982766:WXC982972 WXB5:WXC11 KP5:KQ11 UL5:UM11 AEH5:AEI11 AOD5:AOE11 AXZ5:AYA11 BHV5:BHW11 BRR5:BRS11 CBN5:CBO11 CLJ5:CLK11 CVF5:CVG11 DFB5:DFC11 DOX5:DOY11 DYT5:DYU11 EIP5:EIQ11 ESL5:ESM11 FCH5:FCI11 FMD5:FME11 FVZ5:FWA11 GFV5:GFW11 GPR5:GPS11 GZN5:GZO11 HJJ5:HJK11 HTF5:HTG11 IDB5:IDC11 IMX5:IMY11 IWT5:IWU11 JGP5:JGQ11 JQL5:JQM11 KAH5:KAI11 KKD5:KKE11 KTZ5:KUA11 LDV5:LDW11 LNR5:LNS11 LXN5:LXO11 MHJ5:MHK11 MRF5:MRG11 NBB5:NBC11 NKX5:NKY11 NUT5:NUU11 OEP5:OEQ11 OOL5:OOM11 OYH5:OYI11 PID5:PIE11 PRZ5:PSA11 QBV5:QBW11 QLR5:QLS11 QVN5:QVO11 RFJ5:RFK11 RPF5:RPG11 RZB5:RZC11 SIX5:SIY11 SST5:SSU11 TCP5:TCQ11 TML5:TMM11 TWH5:TWI11 UGD5:UGE11 UPZ5:UQA11 UZV5:UZW11 VJR5:VJS11 VTN5:VTO11 WDJ5:WDK11 WNF5:WNG11">
      <formula1>0</formula1>
      <formula2>100</formula2>
    </dataValidation>
    <dataValidation type="whole" allowBlank="1" showInputMessage="1" showErrorMessage="1" sqref="BI65262:BI65468 LH65262:LH65468 VD65262:VD65468 AEZ65262:AEZ65468 AOV65262:AOV65468 AYR65262:AYR65468 BIN65262:BIN65468 BSJ65262:BSJ65468 CCF65262:CCF65468 CMB65262:CMB65468 CVX65262:CVX65468 DFT65262:DFT65468 DPP65262:DPP65468 DZL65262:DZL65468 EJH65262:EJH65468 ETD65262:ETD65468 FCZ65262:FCZ65468 FMV65262:FMV65468 FWR65262:FWR65468 GGN65262:GGN65468 GQJ65262:GQJ65468 HAF65262:HAF65468 HKB65262:HKB65468 HTX65262:HTX65468 IDT65262:IDT65468 INP65262:INP65468 IXL65262:IXL65468 JHH65262:JHH65468 JRD65262:JRD65468 KAZ65262:KAZ65468 KKV65262:KKV65468 KUR65262:KUR65468 LEN65262:LEN65468 LOJ65262:LOJ65468 LYF65262:LYF65468 MIB65262:MIB65468 MRX65262:MRX65468 NBT65262:NBT65468 NLP65262:NLP65468 NVL65262:NVL65468 OFH65262:OFH65468 OPD65262:OPD65468 OYZ65262:OYZ65468 PIV65262:PIV65468 PSR65262:PSR65468 QCN65262:QCN65468 QMJ65262:QMJ65468 QWF65262:QWF65468 RGB65262:RGB65468 RPX65262:RPX65468 RZT65262:RZT65468 SJP65262:SJP65468 STL65262:STL65468 TDH65262:TDH65468 TND65262:TND65468 TWZ65262:TWZ65468 UGV65262:UGV65468 UQR65262:UQR65468 VAN65262:VAN65468 VKJ65262:VKJ65468 VUF65262:VUF65468 WEB65262:WEB65468 WNX65262:WNX65468 WXT65262:WXT65468 BI130798:BI131004 LH130798:LH131004 VD130798:VD131004 AEZ130798:AEZ131004 AOV130798:AOV131004 AYR130798:AYR131004 BIN130798:BIN131004 BSJ130798:BSJ131004 CCF130798:CCF131004 CMB130798:CMB131004 CVX130798:CVX131004 DFT130798:DFT131004 DPP130798:DPP131004 DZL130798:DZL131004 EJH130798:EJH131004 ETD130798:ETD131004 FCZ130798:FCZ131004 FMV130798:FMV131004 FWR130798:FWR131004 GGN130798:GGN131004 GQJ130798:GQJ131004 HAF130798:HAF131004 HKB130798:HKB131004 HTX130798:HTX131004 IDT130798:IDT131004 INP130798:INP131004 IXL130798:IXL131004 JHH130798:JHH131004 JRD130798:JRD131004 KAZ130798:KAZ131004 KKV130798:KKV131004 KUR130798:KUR131004 LEN130798:LEN131004 LOJ130798:LOJ131004 LYF130798:LYF131004 MIB130798:MIB131004 MRX130798:MRX131004 NBT130798:NBT131004 NLP130798:NLP131004 NVL130798:NVL131004 OFH130798:OFH131004 OPD130798:OPD131004 OYZ130798:OYZ131004 PIV130798:PIV131004 PSR130798:PSR131004 QCN130798:QCN131004 QMJ130798:QMJ131004 QWF130798:QWF131004 RGB130798:RGB131004 RPX130798:RPX131004 RZT130798:RZT131004 SJP130798:SJP131004 STL130798:STL131004 TDH130798:TDH131004 TND130798:TND131004 TWZ130798:TWZ131004 UGV130798:UGV131004 UQR130798:UQR131004 VAN130798:VAN131004 VKJ130798:VKJ131004 VUF130798:VUF131004 WEB130798:WEB131004 WNX130798:WNX131004 WXT130798:WXT131004 BI196334:BI196540 LH196334:LH196540 VD196334:VD196540 AEZ196334:AEZ196540 AOV196334:AOV196540 AYR196334:AYR196540 BIN196334:BIN196540 BSJ196334:BSJ196540 CCF196334:CCF196540 CMB196334:CMB196540 CVX196334:CVX196540 DFT196334:DFT196540 DPP196334:DPP196540 DZL196334:DZL196540 EJH196334:EJH196540 ETD196334:ETD196540 FCZ196334:FCZ196540 FMV196334:FMV196540 FWR196334:FWR196540 GGN196334:GGN196540 GQJ196334:GQJ196540 HAF196334:HAF196540 HKB196334:HKB196540 HTX196334:HTX196540 IDT196334:IDT196540 INP196334:INP196540 IXL196334:IXL196540 JHH196334:JHH196540 JRD196334:JRD196540 KAZ196334:KAZ196540 KKV196334:KKV196540 KUR196334:KUR196540 LEN196334:LEN196540 LOJ196334:LOJ196540 LYF196334:LYF196540 MIB196334:MIB196540 MRX196334:MRX196540 NBT196334:NBT196540 NLP196334:NLP196540 NVL196334:NVL196540 OFH196334:OFH196540 OPD196334:OPD196540 OYZ196334:OYZ196540 PIV196334:PIV196540 PSR196334:PSR196540 QCN196334:QCN196540 QMJ196334:QMJ196540 QWF196334:QWF196540 RGB196334:RGB196540 RPX196334:RPX196540 RZT196334:RZT196540 SJP196334:SJP196540 STL196334:STL196540 TDH196334:TDH196540 TND196334:TND196540 TWZ196334:TWZ196540 UGV196334:UGV196540 UQR196334:UQR196540 VAN196334:VAN196540 VKJ196334:VKJ196540 VUF196334:VUF196540 WEB196334:WEB196540 WNX196334:WNX196540 WXT196334:WXT196540 BI261870:BI262076 LH261870:LH262076 VD261870:VD262076 AEZ261870:AEZ262076 AOV261870:AOV262076 AYR261870:AYR262076 BIN261870:BIN262076 BSJ261870:BSJ262076 CCF261870:CCF262076 CMB261870:CMB262076 CVX261870:CVX262076 DFT261870:DFT262076 DPP261870:DPP262076 DZL261870:DZL262076 EJH261870:EJH262076 ETD261870:ETD262076 FCZ261870:FCZ262076 FMV261870:FMV262076 FWR261870:FWR262076 GGN261870:GGN262076 GQJ261870:GQJ262076 HAF261870:HAF262076 HKB261870:HKB262076 HTX261870:HTX262076 IDT261870:IDT262076 INP261870:INP262076 IXL261870:IXL262076 JHH261870:JHH262076 JRD261870:JRD262076 KAZ261870:KAZ262076 KKV261870:KKV262076 KUR261870:KUR262076 LEN261870:LEN262076 LOJ261870:LOJ262076 LYF261870:LYF262076 MIB261870:MIB262076 MRX261870:MRX262076 NBT261870:NBT262076 NLP261870:NLP262076 NVL261870:NVL262076 OFH261870:OFH262076 OPD261870:OPD262076 OYZ261870:OYZ262076 PIV261870:PIV262076 PSR261870:PSR262076 QCN261870:QCN262076 QMJ261870:QMJ262076 QWF261870:QWF262076 RGB261870:RGB262076 RPX261870:RPX262076 RZT261870:RZT262076 SJP261870:SJP262076 STL261870:STL262076 TDH261870:TDH262076 TND261870:TND262076 TWZ261870:TWZ262076 UGV261870:UGV262076 UQR261870:UQR262076 VAN261870:VAN262076 VKJ261870:VKJ262076 VUF261870:VUF262076 WEB261870:WEB262076 WNX261870:WNX262076 WXT261870:WXT262076 BI327406:BI327612 LH327406:LH327612 VD327406:VD327612 AEZ327406:AEZ327612 AOV327406:AOV327612 AYR327406:AYR327612 BIN327406:BIN327612 BSJ327406:BSJ327612 CCF327406:CCF327612 CMB327406:CMB327612 CVX327406:CVX327612 DFT327406:DFT327612 DPP327406:DPP327612 DZL327406:DZL327612 EJH327406:EJH327612 ETD327406:ETD327612 FCZ327406:FCZ327612 FMV327406:FMV327612 FWR327406:FWR327612 GGN327406:GGN327612 GQJ327406:GQJ327612 HAF327406:HAF327612 HKB327406:HKB327612 HTX327406:HTX327612 IDT327406:IDT327612 INP327406:INP327612 IXL327406:IXL327612 JHH327406:JHH327612 JRD327406:JRD327612 KAZ327406:KAZ327612 KKV327406:KKV327612 KUR327406:KUR327612 LEN327406:LEN327612 LOJ327406:LOJ327612 LYF327406:LYF327612 MIB327406:MIB327612 MRX327406:MRX327612 NBT327406:NBT327612 NLP327406:NLP327612 NVL327406:NVL327612 OFH327406:OFH327612 OPD327406:OPD327612 OYZ327406:OYZ327612 PIV327406:PIV327612 PSR327406:PSR327612 QCN327406:QCN327612 QMJ327406:QMJ327612 QWF327406:QWF327612 RGB327406:RGB327612 RPX327406:RPX327612 RZT327406:RZT327612 SJP327406:SJP327612 STL327406:STL327612 TDH327406:TDH327612 TND327406:TND327612 TWZ327406:TWZ327612 UGV327406:UGV327612 UQR327406:UQR327612 VAN327406:VAN327612 VKJ327406:VKJ327612 VUF327406:VUF327612 WEB327406:WEB327612 WNX327406:WNX327612 WXT327406:WXT327612 BI392942:BI393148 LH392942:LH393148 VD392942:VD393148 AEZ392942:AEZ393148 AOV392942:AOV393148 AYR392942:AYR393148 BIN392942:BIN393148 BSJ392942:BSJ393148 CCF392942:CCF393148 CMB392942:CMB393148 CVX392942:CVX393148 DFT392942:DFT393148 DPP392942:DPP393148 DZL392942:DZL393148 EJH392942:EJH393148 ETD392942:ETD393148 FCZ392942:FCZ393148 FMV392942:FMV393148 FWR392942:FWR393148 GGN392942:GGN393148 GQJ392942:GQJ393148 HAF392942:HAF393148 HKB392942:HKB393148 HTX392942:HTX393148 IDT392942:IDT393148 INP392942:INP393148 IXL392942:IXL393148 JHH392942:JHH393148 JRD392942:JRD393148 KAZ392942:KAZ393148 KKV392942:KKV393148 KUR392942:KUR393148 LEN392942:LEN393148 LOJ392942:LOJ393148 LYF392942:LYF393148 MIB392942:MIB393148 MRX392942:MRX393148 NBT392942:NBT393148 NLP392942:NLP393148 NVL392942:NVL393148 OFH392942:OFH393148 OPD392942:OPD393148 OYZ392942:OYZ393148 PIV392942:PIV393148 PSR392942:PSR393148 QCN392942:QCN393148 QMJ392942:QMJ393148 QWF392942:QWF393148 RGB392942:RGB393148 RPX392942:RPX393148 RZT392942:RZT393148 SJP392942:SJP393148 STL392942:STL393148 TDH392942:TDH393148 TND392942:TND393148 TWZ392942:TWZ393148 UGV392942:UGV393148 UQR392942:UQR393148 VAN392942:VAN393148 VKJ392942:VKJ393148 VUF392942:VUF393148 WEB392942:WEB393148 WNX392942:WNX393148 WXT392942:WXT393148 BI458478:BI458684 LH458478:LH458684 VD458478:VD458684 AEZ458478:AEZ458684 AOV458478:AOV458684 AYR458478:AYR458684 BIN458478:BIN458684 BSJ458478:BSJ458684 CCF458478:CCF458684 CMB458478:CMB458684 CVX458478:CVX458684 DFT458478:DFT458684 DPP458478:DPP458684 DZL458478:DZL458684 EJH458478:EJH458684 ETD458478:ETD458684 FCZ458478:FCZ458684 FMV458478:FMV458684 FWR458478:FWR458684 GGN458478:GGN458684 GQJ458478:GQJ458684 HAF458478:HAF458684 HKB458478:HKB458684 HTX458478:HTX458684 IDT458478:IDT458684 INP458478:INP458684 IXL458478:IXL458684 JHH458478:JHH458684 JRD458478:JRD458684 KAZ458478:KAZ458684 KKV458478:KKV458684 KUR458478:KUR458684 LEN458478:LEN458684 LOJ458478:LOJ458684 LYF458478:LYF458684 MIB458478:MIB458684 MRX458478:MRX458684 NBT458478:NBT458684 NLP458478:NLP458684 NVL458478:NVL458684 OFH458478:OFH458684 OPD458478:OPD458684 OYZ458478:OYZ458684 PIV458478:PIV458684 PSR458478:PSR458684 QCN458478:QCN458684 QMJ458478:QMJ458684 QWF458478:QWF458684 RGB458478:RGB458684 RPX458478:RPX458684 RZT458478:RZT458684 SJP458478:SJP458684 STL458478:STL458684 TDH458478:TDH458684 TND458478:TND458684 TWZ458478:TWZ458684 UGV458478:UGV458684 UQR458478:UQR458684 VAN458478:VAN458684 VKJ458478:VKJ458684 VUF458478:VUF458684 WEB458478:WEB458684 WNX458478:WNX458684 WXT458478:WXT458684 BI524014:BI524220 LH524014:LH524220 VD524014:VD524220 AEZ524014:AEZ524220 AOV524014:AOV524220 AYR524014:AYR524220 BIN524014:BIN524220 BSJ524014:BSJ524220 CCF524014:CCF524220 CMB524014:CMB524220 CVX524014:CVX524220 DFT524014:DFT524220 DPP524014:DPP524220 DZL524014:DZL524220 EJH524014:EJH524220 ETD524014:ETD524220 FCZ524014:FCZ524220 FMV524014:FMV524220 FWR524014:FWR524220 GGN524014:GGN524220 GQJ524014:GQJ524220 HAF524014:HAF524220 HKB524014:HKB524220 HTX524014:HTX524220 IDT524014:IDT524220 INP524014:INP524220 IXL524014:IXL524220 JHH524014:JHH524220 JRD524014:JRD524220 KAZ524014:KAZ524220 KKV524014:KKV524220 KUR524014:KUR524220 LEN524014:LEN524220 LOJ524014:LOJ524220 LYF524014:LYF524220 MIB524014:MIB524220 MRX524014:MRX524220 NBT524014:NBT524220 NLP524014:NLP524220 NVL524014:NVL524220 OFH524014:OFH524220 OPD524014:OPD524220 OYZ524014:OYZ524220 PIV524014:PIV524220 PSR524014:PSR524220 QCN524014:QCN524220 QMJ524014:QMJ524220 QWF524014:QWF524220 RGB524014:RGB524220 RPX524014:RPX524220 RZT524014:RZT524220 SJP524014:SJP524220 STL524014:STL524220 TDH524014:TDH524220 TND524014:TND524220 TWZ524014:TWZ524220 UGV524014:UGV524220 UQR524014:UQR524220 VAN524014:VAN524220 VKJ524014:VKJ524220 VUF524014:VUF524220 WEB524014:WEB524220 WNX524014:WNX524220 WXT524014:WXT524220 BI589550:BI589756 LH589550:LH589756 VD589550:VD589756 AEZ589550:AEZ589756 AOV589550:AOV589756 AYR589550:AYR589756 BIN589550:BIN589756 BSJ589550:BSJ589756 CCF589550:CCF589756 CMB589550:CMB589756 CVX589550:CVX589756 DFT589550:DFT589756 DPP589550:DPP589756 DZL589550:DZL589756 EJH589550:EJH589756 ETD589550:ETD589756 FCZ589550:FCZ589756 FMV589550:FMV589756 FWR589550:FWR589756 GGN589550:GGN589756 GQJ589550:GQJ589756 HAF589550:HAF589756 HKB589550:HKB589756 HTX589550:HTX589756 IDT589550:IDT589756 INP589550:INP589756 IXL589550:IXL589756 JHH589550:JHH589756 JRD589550:JRD589756 KAZ589550:KAZ589756 KKV589550:KKV589756 KUR589550:KUR589756 LEN589550:LEN589756 LOJ589550:LOJ589756 LYF589550:LYF589756 MIB589550:MIB589756 MRX589550:MRX589756 NBT589550:NBT589756 NLP589550:NLP589756 NVL589550:NVL589756 OFH589550:OFH589756 OPD589550:OPD589756 OYZ589550:OYZ589756 PIV589550:PIV589756 PSR589550:PSR589756 QCN589550:QCN589756 QMJ589550:QMJ589756 QWF589550:QWF589756 RGB589550:RGB589756 RPX589550:RPX589756 RZT589550:RZT589756 SJP589550:SJP589756 STL589550:STL589756 TDH589550:TDH589756 TND589550:TND589756 TWZ589550:TWZ589756 UGV589550:UGV589756 UQR589550:UQR589756 VAN589550:VAN589756 VKJ589550:VKJ589756 VUF589550:VUF589756 WEB589550:WEB589756 WNX589550:WNX589756 WXT589550:WXT589756 BI655086:BI655292 LH655086:LH655292 VD655086:VD655292 AEZ655086:AEZ655292 AOV655086:AOV655292 AYR655086:AYR655292 BIN655086:BIN655292 BSJ655086:BSJ655292 CCF655086:CCF655292 CMB655086:CMB655292 CVX655086:CVX655292 DFT655086:DFT655292 DPP655086:DPP655292 DZL655086:DZL655292 EJH655086:EJH655292 ETD655086:ETD655292 FCZ655086:FCZ655292 FMV655086:FMV655292 FWR655086:FWR655292 GGN655086:GGN655292 GQJ655086:GQJ655292 HAF655086:HAF655292 HKB655086:HKB655292 HTX655086:HTX655292 IDT655086:IDT655292 INP655086:INP655292 IXL655086:IXL655292 JHH655086:JHH655292 JRD655086:JRD655292 KAZ655086:KAZ655292 KKV655086:KKV655292 KUR655086:KUR655292 LEN655086:LEN655292 LOJ655086:LOJ655292 LYF655086:LYF655292 MIB655086:MIB655292 MRX655086:MRX655292 NBT655086:NBT655292 NLP655086:NLP655292 NVL655086:NVL655292 OFH655086:OFH655292 OPD655086:OPD655292 OYZ655086:OYZ655292 PIV655086:PIV655292 PSR655086:PSR655292 QCN655086:QCN655292 QMJ655086:QMJ655292 QWF655086:QWF655292 RGB655086:RGB655292 RPX655086:RPX655292 RZT655086:RZT655292 SJP655086:SJP655292 STL655086:STL655292 TDH655086:TDH655292 TND655086:TND655292 TWZ655086:TWZ655292 UGV655086:UGV655292 UQR655086:UQR655292 VAN655086:VAN655292 VKJ655086:VKJ655292 VUF655086:VUF655292 WEB655086:WEB655292 WNX655086:WNX655292 WXT655086:WXT655292 BI720622:BI720828 LH720622:LH720828 VD720622:VD720828 AEZ720622:AEZ720828 AOV720622:AOV720828 AYR720622:AYR720828 BIN720622:BIN720828 BSJ720622:BSJ720828 CCF720622:CCF720828 CMB720622:CMB720828 CVX720622:CVX720828 DFT720622:DFT720828 DPP720622:DPP720828 DZL720622:DZL720828 EJH720622:EJH720828 ETD720622:ETD720828 FCZ720622:FCZ720828 FMV720622:FMV720828 FWR720622:FWR720828 GGN720622:GGN720828 GQJ720622:GQJ720828 HAF720622:HAF720828 HKB720622:HKB720828 HTX720622:HTX720828 IDT720622:IDT720828 INP720622:INP720828 IXL720622:IXL720828 JHH720622:JHH720828 JRD720622:JRD720828 KAZ720622:KAZ720828 KKV720622:KKV720828 KUR720622:KUR720828 LEN720622:LEN720828 LOJ720622:LOJ720828 LYF720622:LYF720828 MIB720622:MIB720828 MRX720622:MRX720828 NBT720622:NBT720828 NLP720622:NLP720828 NVL720622:NVL720828 OFH720622:OFH720828 OPD720622:OPD720828 OYZ720622:OYZ720828 PIV720622:PIV720828 PSR720622:PSR720828 QCN720622:QCN720828 QMJ720622:QMJ720828 QWF720622:QWF720828 RGB720622:RGB720828 RPX720622:RPX720828 RZT720622:RZT720828 SJP720622:SJP720828 STL720622:STL720828 TDH720622:TDH720828 TND720622:TND720828 TWZ720622:TWZ720828 UGV720622:UGV720828 UQR720622:UQR720828 VAN720622:VAN720828 VKJ720622:VKJ720828 VUF720622:VUF720828 WEB720622:WEB720828 WNX720622:WNX720828 WXT720622:WXT720828 BI786158:BI786364 LH786158:LH786364 VD786158:VD786364 AEZ786158:AEZ786364 AOV786158:AOV786364 AYR786158:AYR786364 BIN786158:BIN786364 BSJ786158:BSJ786364 CCF786158:CCF786364 CMB786158:CMB786364 CVX786158:CVX786364 DFT786158:DFT786364 DPP786158:DPP786364 DZL786158:DZL786364 EJH786158:EJH786364 ETD786158:ETD786364 FCZ786158:FCZ786364 FMV786158:FMV786364 FWR786158:FWR786364 GGN786158:GGN786364 GQJ786158:GQJ786364 HAF786158:HAF786364 HKB786158:HKB786364 HTX786158:HTX786364 IDT786158:IDT786364 INP786158:INP786364 IXL786158:IXL786364 JHH786158:JHH786364 JRD786158:JRD786364 KAZ786158:KAZ786364 KKV786158:KKV786364 KUR786158:KUR786364 LEN786158:LEN786364 LOJ786158:LOJ786364 LYF786158:LYF786364 MIB786158:MIB786364 MRX786158:MRX786364 NBT786158:NBT786364 NLP786158:NLP786364 NVL786158:NVL786364 OFH786158:OFH786364 OPD786158:OPD786364 OYZ786158:OYZ786364 PIV786158:PIV786364 PSR786158:PSR786364 QCN786158:QCN786364 QMJ786158:QMJ786364 QWF786158:QWF786364 RGB786158:RGB786364 RPX786158:RPX786364 RZT786158:RZT786364 SJP786158:SJP786364 STL786158:STL786364 TDH786158:TDH786364 TND786158:TND786364 TWZ786158:TWZ786364 UGV786158:UGV786364 UQR786158:UQR786364 VAN786158:VAN786364 VKJ786158:VKJ786364 VUF786158:VUF786364 WEB786158:WEB786364 WNX786158:WNX786364 WXT786158:WXT786364 BI851694:BI851900 LH851694:LH851900 VD851694:VD851900 AEZ851694:AEZ851900 AOV851694:AOV851900 AYR851694:AYR851900 BIN851694:BIN851900 BSJ851694:BSJ851900 CCF851694:CCF851900 CMB851694:CMB851900 CVX851694:CVX851900 DFT851694:DFT851900 DPP851694:DPP851900 DZL851694:DZL851900 EJH851694:EJH851900 ETD851694:ETD851900 FCZ851694:FCZ851900 FMV851694:FMV851900 FWR851694:FWR851900 GGN851694:GGN851900 GQJ851694:GQJ851900 HAF851694:HAF851900 HKB851694:HKB851900 HTX851694:HTX851900 IDT851694:IDT851900 INP851694:INP851900 IXL851694:IXL851900 JHH851694:JHH851900 JRD851694:JRD851900 KAZ851694:KAZ851900 KKV851694:KKV851900 KUR851694:KUR851900 LEN851694:LEN851900 LOJ851694:LOJ851900 LYF851694:LYF851900 MIB851694:MIB851900 MRX851694:MRX851900 NBT851694:NBT851900 NLP851694:NLP851900 NVL851694:NVL851900 OFH851694:OFH851900 OPD851694:OPD851900 OYZ851694:OYZ851900 PIV851694:PIV851900 PSR851694:PSR851900 QCN851694:QCN851900 QMJ851694:QMJ851900 QWF851694:QWF851900 RGB851694:RGB851900 RPX851694:RPX851900 RZT851694:RZT851900 SJP851694:SJP851900 STL851694:STL851900 TDH851694:TDH851900 TND851694:TND851900 TWZ851694:TWZ851900 UGV851694:UGV851900 UQR851694:UQR851900 VAN851694:VAN851900 VKJ851694:VKJ851900 VUF851694:VUF851900 WEB851694:WEB851900 WNX851694:WNX851900 WXT851694:WXT851900 BI917230:BI917436 LH917230:LH917436 VD917230:VD917436 AEZ917230:AEZ917436 AOV917230:AOV917436 AYR917230:AYR917436 BIN917230:BIN917436 BSJ917230:BSJ917436 CCF917230:CCF917436 CMB917230:CMB917436 CVX917230:CVX917436 DFT917230:DFT917436 DPP917230:DPP917436 DZL917230:DZL917436 EJH917230:EJH917436 ETD917230:ETD917436 FCZ917230:FCZ917436 FMV917230:FMV917436 FWR917230:FWR917436 GGN917230:GGN917436 GQJ917230:GQJ917436 HAF917230:HAF917436 HKB917230:HKB917436 HTX917230:HTX917436 IDT917230:IDT917436 INP917230:INP917436 IXL917230:IXL917436 JHH917230:JHH917436 JRD917230:JRD917436 KAZ917230:KAZ917436 KKV917230:KKV917436 KUR917230:KUR917436 LEN917230:LEN917436 LOJ917230:LOJ917436 LYF917230:LYF917436 MIB917230:MIB917436 MRX917230:MRX917436 NBT917230:NBT917436 NLP917230:NLP917436 NVL917230:NVL917436 OFH917230:OFH917436 OPD917230:OPD917436 OYZ917230:OYZ917436 PIV917230:PIV917436 PSR917230:PSR917436 QCN917230:QCN917436 QMJ917230:QMJ917436 QWF917230:QWF917436 RGB917230:RGB917436 RPX917230:RPX917436 RZT917230:RZT917436 SJP917230:SJP917436 STL917230:STL917436 TDH917230:TDH917436 TND917230:TND917436 TWZ917230:TWZ917436 UGV917230:UGV917436 UQR917230:UQR917436 VAN917230:VAN917436 VKJ917230:VKJ917436 VUF917230:VUF917436 WEB917230:WEB917436 WNX917230:WNX917436 WXT917230:WXT917436 BI982766:BI982972 LH982766:LH982972 VD982766:VD982972 AEZ982766:AEZ982972 AOV982766:AOV982972 AYR982766:AYR982972 BIN982766:BIN982972 BSJ982766:BSJ982972 CCF982766:CCF982972 CMB982766:CMB982972 CVX982766:CVX982972 DFT982766:DFT982972 DPP982766:DPP982972 DZL982766:DZL982972 EJH982766:EJH982972 ETD982766:ETD982972 FCZ982766:FCZ982972 FMV982766:FMV982972 FWR982766:FWR982972 GGN982766:GGN982972 GQJ982766:GQJ982972 HAF982766:HAF982972 HKB982766:HKB982972 HTX982766:HTX982972 IDT982766:IDT982972 INP982766:INP982972 IXL982766:IXL982972 JHH982766:JHH982972 JRD982766:JRD982972 KAZ982766:KAZ982972 KKV982766:KKV982972 KUR982766:KUR982972 LEN982766:LEN982972 LOJ982766:LOJ982972 LYF982766:LYF982972 MIB982766:MIB982972 MRX982766:MRX982972 NBT982766:NBT982972 NLP982766:NLP982972 NVL982766:NVL982972 OFH982766:OFH982972 OPD982766:OPD982972 OYZ982766:OYZ982972 PIV982766:PIV982972 PSR982766:PSR982972 QCN982766:QCN982972 QMJ982766:QMJ982972 QWF982766:QWF982972 RGB982766:RGB982972 RPX982766:RPX982972 RZT982766:RZT982972 SJP982766:SJP982972 STL982766:STL982972 TDH982766:TDH982972 TND982766:TND982972 TWZ982766:TWZ982972 UGV982766:UGV982972 UQR982766:UQR982972 VAN982766:VAN982972 VKJ982766:VKJ982972 VUF982766:VUF982972 WEB982766:WEB982972 WNX982766:WNX982972 WXT982766:WXT982972 WXT5:WXT11 LH5:LH11 VD5:VD11 AEZ5:AEZ11 AOV5:AOV11 AYR5:AYR11 BIN5:BIN11 BSJ5:BSJ11 CCF5:CCF11 CMB5:CMB11 CVX5:CVX11 DFT5:DFT11 DPP5:DPP11 DZL5:DZL11 EJH5:EJH11 ETD5:ETD11 FCZ5:FCZ11 FMV5:FMV11 FWR5:FWR11 GGN5:GGN11 GQJ5:GQJ11 HAF5:HAF11 HKB5:HKB11 HTX5:HTX11 IDT5:IDT11 INP5:INP11 IXL5:IXL11 JHH5:JHH11 JRD5:JRD11 KAZ5:KAZ11 KKV5:KKV11 KUR5:KUR11 LEN5:LEN11 LOJ5:LOJ11 LYF5:LYF11 MIB5:MIB11 MRX5:MRX11 NBT5:NBT11 NLP5:NLP11 NVL5:NVL11 OFH5:OFH11 OPD5:OPD11 OYZ5:OYZ11 PIV5:PIV11 PSR5:PSR11 QCN5:QCN11 QMJ5:QMJ11 QWF5:QWF11 RGB5:RGB11 RPX5:RPX11 RZT5:RZT11 SJP5:SJP11 STL5:STL11 TDH5:TDH11 TND5:TND11 TWZ5:TWZ11 UGV5:UGV11 UQR5:UQR11 VAN5:VAN11 VKJ5:VKJ11 VUF5:VUF11 WEB5:WEB11 WNX5:WNX11">
      <formula1>0</formula1>
      <formula2>100000</formula2>
    </dataValidation>
    <dataValidation type="list" allowBlank="1" showInputMessage="1" showErrorMessage="1" sqref="AA65262:AA65464 WWX982766:WWX982968 WNB982766:WNB982968 WDF982766:WDF982968 VTJ982766:VTJ982968 VJN982766:VJN982968 UZR982766:UZR982968 UPV982766:UPV982968 UFZ982766:UFZ982968 TWD982766:TWD982968 TMH982766:TMH982968 TCL982766:TCL982968 SSP982766:SSP982968 SIT982766:SIT982968 RYX982766:RYX982968 RPB982766:RPB982968 RFF982766:RFF982968 QVJ982766:QVJ982968 QLN982766:QLN982968 QBR982766:QBR982968 PRV982766:PRV982968 PHZ982766:PHZ982968 OYD982766:OYD982968 OOH982766:OOH982968 OEL982766:OEL982968 NUP982766:NUP982968 NKT982766:NKT982968 NAX982766:NAX982968 MRB982766:MRB982968 MHF982766:MHF982968 LXJ982766:LXJ982968 LNN982766:LNN982968 LDR982766:LDR982968 KTV982766:KTV982968 KJZ982766:KJZ982968 KAD982766:KAD982968 JQH982766:JQH982968 JGL982766:JGL982968 IWP982766:IWP982968 IMT982766:IMT982968 ICX982766:ICX982968 HTB982766:HTB982968 HJF982766:HJF982968 GZJ982766:GZJ982968 GPN982766:GPN982968 GFR982766:GFR982968 FVV982766:FVV982968 FLZ982766:FLZ982968 FCD982766:FCD982968 ESH982766:ESH982968 EIL982766:EIL982968 DYP982766:DYP982968 DOT982766:DOT982968 DEX982766:DEX982968 CVB982766:CVB982968 CLF982766:CLF982968 CBJ982766:CBJ982968 BRN982766:BRN982968 BHR982766:BHR982968 AXV982766:AXV982968 ANZ982766:ANZ982968 AED982766:AED982968 UH982766:UH982968 KL982766:KL982968 AA982766:AA982968 WWX917230:WWX917432 WNB917230:WNB917432 WDF917230:WDF917432 VTJ917230:VTJ917432 VJN917230:VJN917432 UZR917230:UZR917432 UPV917230:UPV917432 UFZ917230:UFZ917432 TWD917230:TWD917432 TMH917230:TMH917432 TCL917230:TCL917432 SSP917230:SSP917432 SIT917230:SIT917432 RYX917230:RYX917432 RPB917230:RPB917432 RFF917230:RFF917432 QVJ917230:QVJ917432 QLN917230:QLN917432 QBR917230:QBR917432 PRV917230:PRV917432 PHZ917230:PHZ917432 OYD917230:OYD917432 OOH917230:OOH917432 OEL917230:OEL917432 NUP917230:NUP917432 NKT917230:NKT917432 NAX917230:NAX917432 MRB917230:MRB917432 MHF917230:MHF917432 LXJ917230:LXJ917432 LNN917230:LNN917432 LDR917230:LDR917432 KTV917230:KTV917432 KJZ917230:KJZ917432 KAD917230:KAD917432 JQH917230:JQH917432 JGL917230:JGL917432 IWP917230:IWP917432 IMT917230:IMT917432 ICX917230:ICX917432 HTB917230:HTB917432 HJF917230:HJF917432 GZJ917230:GZJ917432 GPN917230:GPN917432 GFR917230:GFR917432 FVV917230:FVV917432 FLZ917230:FLZ917432 FCD917230:FCD917432 ESH917230:ESH917432 EIL917230:EIL917432 DYP917230:DYP917432 DOT917230:DOT917432 DEX917230:DEX917432 CVB917230:CVB917432 CLF917230:CLF917432 CBJ917230:CBJ917432 BRN917230:BRN917432 BHR917230:BHR917432 AXV917230:AXV917432 ANZ917230:ANZ917432 AED917230:AED917432 UH917230:UH917432 KL917230:KL917432 AA917230:AA917432 WWX851694:WWX851896 WNB851694:WNB851896 WDF851694:WDF851896 VTJ851694:VTJ851896 VJN851694:VJN851896 UZR851694:UZR851896 UPV851694:UPV851896 UFZ851694:UFZ851896 TWD851694:TWD851896 TMH851694:TMH851896 TCL851694:TCL851896 SSP851694:SSP851896 SIT851694:SIT851896 RYX851694:RYX851896 RPB851694:RPB851896 RFF851694:RFF851896 QVJ851694:QVJ851896 QLN851694:QLN851896 QBR851694:QBR851896 PRV851694:PRV851896 PHZ851694:PHZ851896 OYD851694:OYD851896 OOH851694:OOH851896 OEL851694:OEL851896 NUP851694:NUP851896 NKT851694:NKT851896 NAX851694:NAX851896 MRB851694:MRB851896 MHF851694:MHF851896 LXJ851694:LXJ851896 LNN851694:LNN851896 LDR851694:LDR851896 KTV851694:KTV851896 KJZ851694:KJZ851896 KAD851694:KAD851896 JQH851694:JQH851896 JGL851694:JGL851896 IWP851694:IWP851896 IMT851694:IMT851896 ICX851694:ICX851896 HTB851694:HTB851896 HJF851694:HJF851896 GZJ851694:GZJ851896 GPN851694:GPN851896 GFR851694:GFR851896 FVV851694:FVV851896 FLZ851694:FLZ851896 FCD851694:FCD851896 ESH851694:ESH851896 EIL851694:EIL851896 DYP851694:DYP851896 DOT851694:DOT851896 DEX851694:DEX851896 CVB851694:CVB851896 CLF851694:CLF851896 CBJ851694:CBJ851896 BRN851694:BRN851896 BHR851694:BHR851896 AXV851694:AXV851896 ANZ851694:ANZ851896 AED851694:AED851896 UH851694:UH851896 KL851694:KL851896 AA851694:AA851896 WWX786158:WWX786360 WNB786158:WNB786360 WDF786158:WDF786360 VTJ786158:VTJ786360 VJN786158:VJN786360 UZR786158:UZR786360 UPV786158:UPV786360 UFZ786158:UFZ786360 TWD786158:TWD786360 TMH786158:TMH786360 TCL786158:TCL786360 SSP786158:SSP786360 SIT786158:SIT786360 RYX786158:RYX786360 RPB786158:RPB786360 RFF786158:RFF786360 QVJ786158:QVJ786360 QLN786158:QLN786360 QBR786158:QBR786360 PRV786158:PRV786360 PHZ786158:PHZ786360 OYD786158:OYD786360 OOH786158:OOH786360 OEL786158:OEL786360 NUP786158:NUP786360 NKT786158:NKT786360 NAX786158:NAX786360 MRB786158:MRB786360 MHF786158:MHF786360 LXJ786158:LXJ786360 LNN786158:LNN786360 LDR786158:LDR786360 KTV786158:KTV786360 KJZ786158:KJZ786360 KAD786158:KAD786360 JQH786158:JQH786360 JGL786158:JGL786360 IWP786158:IWP786360 IMT786158:IMT786360 ICX786158:ICX786360 HTB786158:HTB786360 HJF786158:HJF786360 GZJ786158:GZJ786360 GPN786158:GPN786360 GFR786158:GFR786360 FVV786158:FVV786360 FLZ786158:FLZ786360 FCD786158:FCD786360 ESH786158:ESH786360 EIL786158:EIL786360 DYP786158:DYP786360 DOT786158:DOT786360 DEX786158:DEX786360 CVB786158:CVB786360 CLF786158:CLF786360 CBJ786158:CBJ786360 BRN786158:BRN786360 BHR786158:BHR786360 AXV786158:AXV786360 ANZ786158:ANZ786360 AED786158:AED786360 UH786158:UH786360 KL786158:KL786360 AA786158:AA786360 WWX720622:WWX720824 WNB720622:WNB720824 WDF720622:WDF720824 VTJ720622:VTJ720824 VJN720622:VJN720824 UZR720622:UZR720824 UPV720622:UPV720824 UFZ720622:UFZ720824 TWD720622:TWD720824 TMH720622:TMH720824 TCL720622:TCL720824 SSP720622:SSP720824 SIT720622:SIT720824 RYX720622:RYX720824 RPB720622:RPB720824 RFF720622:RFF720824 QVJ720622:QVJ720824 QLN720622:QLN720824 QBR720622:QBR720824 PRV720622:PRV720824 PHZ720622:PHZ720824 OYD720622:OYD720824 OOH720622:OOH720824 OEL720622:OEL720824 NUP720622:NUP720824 NKT720622:NKT720824 NAX720622:NAX720824 MRB720622:MRB720824 MHF720622:MHF720824 LXJ720622:LXJ720824 LNN720622:LNN720824 LDR720622:LDR720824 KTV720622:KTV720824 KJZ720622:KJZ720824 KAD720622:KAD720824 JQH720622:JQH720824 JGL720622:JGL720824 IWP720622:IWP720824 IMT720622:IMT720824 ICX720622:ICX720824 HTB720622:HTB720824 HJF720622:HJF720824 GZJ720622:GZJ720824 GPN720622:GPN720824 GFR720622:GFR720824 FVV720622:FVV720824 FLZ720622:FLZ720824 FCD720622:FCD720824 ESH720622:ESH720824 EIL720622:EIL720824 DYP720622:DYP720824 DOT720622:DOT720824 DEX720622:DEX720824 CVB720622:CVB720824 CLF720622:CLF720824 CBJ720622:CBJ720824 BRN720622:BRN720824 BHR720622:BHR720824 AXV720622:AXV720824 ANZ720622:ANZ720824 AED720622:AED720824 UH720622:UH720824 KL720622:KL720824 AA720622:AA720824 WWX655086:WWX655288 WNB655086:WNB655288 WDF655086:WDF655288 VTJ655086:VTJ655288 VJN655086:VJN655288 UZR655086:UZR655288 UPV655086:UPV655288 UFZ655086:UFZ655288 TWD655086:TWD655288 TMH655086:TMH655288 TCL655086:TCL655288 SSP655086:SSP655288 SIT655086:SIT655288 RYX655086:RYX655288 RPB655086:RPB655288 RFF655086:RFF655288 QVJ655086:QVJ655288 QLN655086:QLN655288 QBR655086:QBR655288 PRV655086:PRV655288 PHZ655086:PHZ655288 OYD655086:OYD655288 OOH655086:OOH655288 OEL655086:OEL655288 NUP655086:NUP655288 NKT655086:NKT655288 NAX655086:NAX655288 MRB655086:MRB655288 MHF655086:MHF655288 LXJ655086:LXJ655288 LNN655086:LNN655288 LDR655086:LDR655288 KTV655086:KTV655288 KJZ655086:KJZ655288 KAD655086:KAD655288 JQH655086:JQH655288 JGL655086:JGL655288 IWP655086:IWP655288 IMT655086:IMT655288 ICX655086:ICX655288 HTB655086:HTB655288 HJF655086:HJF655288 GZJ655086:GZJ655288 GPN655086:GPN655288 GFR655086:GFR655288 FVV655086:FVV655288 FLZ655086:FLZ655288 FCD655086:FCD655288 ESH655086:ESH655288 EIL655086:EIL655288 DYP655086:DYP655288 DOT655086:DOT655288 DEX655086:DEX655288 CVB655086:CVB655288 CLF655086:CLF655288 CBJ655086:CBJ655288 BRN655086:BRN655288 BHR655086:BHR655288 AXV655086:AXV655288 ANZ655086:ANZ655288 AED655086:AED655288 UH655086:UH655288 KL655086:KL655288 AA655086:AA655288 WWX589550:WWX589752 WNB589550:WNB589752 WDF589550:WDF589752 VTJ589550:VTJ589752 VJN589550:VJN589752 UZR589550:UZR589752 UPV589550:UPV589752 UFZ589550:UFZ589752 TWD589550:TWD589752 TMH589550:TMH589752 TCL589550:TCL589752 SSP589550:SSP589752 SIT589550:SIT589752 RYX589550:RYX589752 RPB589550:RPB589752 RFF589550:RFF589752 QVJ589550:QVJ589752 QLN589550:QLN589752 QBR589550:QBR589752 PRV589550:PRV589752 PHZ589550:PHZ589752 OYD589550:OYD589752 OOH589550:OOH589752 OEL589550:OEL589752 NUP589550:NUP589752 NKT589550:NKT589752 NAX589550:NAX589752 MRB589550:MRB589752 MHF589550:MHF589752 LXJ589550:LXJ589752 LNN589550:LNN589752 LDR589550:LDR589752 KTV589550:KTV589752 KJZ589550:KJZ589752 KAD589550:KAD589752 JQH589550:JQH589752 JGL589550:JGL589752 IWP589550:IWP589752 IMT589550:IMT589752 ICX589550:ICX589752 HTB589550:HTB589752 HJF589550:HJF589752 GZJ589550:GZJ589752 GPN589550:GPN589752 GFR589550:GFR589752 FVV589550:FVV589752 FLZ589550:FLZ589752 FCD589550:FCD589752 ESH589550:ESH589752 EIL589550:EIL589752 DYP589550:DYP589752 DOT589550:DOT589752 DEX589550:DEX589752 CVB589550:CVB589752 CLF589550:CLF589752 CBJ589550:CBJ589752 BRN589550:BRN589752 BHR589550:BHR589752 AXV589550:AXV589752 ANZ589550:ANZ589752 AED589550:AED589752 UH589550:UH589752 KL589550:KL589752 AA589550:AA589752 WWX524014:WWX524216 WNB524014:WNB524216 WDF524014:WDF524216 VTJ524014:VTJ524216 VJN524014:VJN524216 UZR524014:UZR524216 UPV524014:UPV524216 UFZ524014:UFZ524216 TWD524014:TWD524216 TMH524014:TMH524216 TCL524014:TCL524216 SSP524014:SSP524216 SIT524014:SIT524216 RYX524014:RYX524216 RPB524014:RPB524216 RFF524014:RFF524216 QVJ524014:QVJ524216 QLN524014:QLN524216 QBR524014:QBR524216 PRV524014:PRV524216 PHZ524014:PHZ524216 OYD524014:OYD524216 OOH524014:OOH524216 OEL524014:OEL524216 NUP524014:NUP524216 NKT524014:NKT524216 NAX524014:NAX524216 MRB524014:MRB524216 MHF524014:MHF524216 LXJ524014:LXJ524216 LNN524014:LNN524216 LDR524014:LDR524216 KTV524014:KTV524216 KJZ524014:KJZ524216 KAD524014:KAD524216 JQH524014:JQH524216 JGL524014:JGL524216 IWP524014:IWP524216 IMT524014:IMT524216 ICX524014:ICX524216 HTB524014:HTB524216 HJF524014:HJF524216 GZJ524014:GZJ524216 GPN524014:GPN524216 GFR524014:GFR524216 FVV524014:FVV524216 FLZ524014:FLZ524216 FCD524014:FCD524216 ESH524014:ESH524216 EIL524014:EIL524216 DYP524014:DYP524216 DOT524014:DOT524216 DEX524014:DEX524216 CVB524014:CVB524216 CLF524014:CLF524216 CBJ524014:CBJ524216 BRN524014:BRN524216 BHR524014:BHR524216 AXV524014:AXV524216 ANZ524014:ANZ524216 AED524014:AED524216 UH524014:UH524216 KL524014:KL524216 AA524014:AA524216 WWX458478:WWX458680 WNB458478:WNB458680 WDF458478:WDF458680 VTJ458478:VTJ458680 VJN458478:VJN458680 UZR458478:UZR458680 UPV458478:UPV458680 UFZ458478:UFZ458680 TWD458478:TWD458680 TMH458478:TMH458680 TCL458478:TCL458680 SSP458478:SSP458680 SIT458478:SIT458680 RYX458478:RYX458680 RPB458478:RPB458680 RFF458478:RFF458680 QVJ458478:QVJ458680 QLN458478:QLN458680 QBR458478:QBR458680 PRV458478:PRV458680 PHZ458478:PHZ458680 OYD458478:OYD458680 OOH458478:OOH458680 OEL458478:OEL458680 NUP458478:NUP458680 NKT458478:NKT458680 NAX458478:NAX458680 MRB458478:MRB458680 MHF458478:MHF458680 LXJ458478:LXJ458680 LNN458478:LNN458680 LDR458478:LDR458680 KTV458478:KTV458680 KJZ458478:KJZ458680 KAD458478:KAD458680 JQH458478:JQH458680 JGL458478:JGL458680 IWP458478:IWP458680 IMT458478:IMT458680 ICX458478:ICX458680 HTB458478:HTB458680 HJF458478:HJF458680 GZJ458478:GZJ458680 GPN458478:GPN458680 GFR458478:GFR458680 FVV458478:FVV458680 FLZ458478:FLZ458680 FCD458478:FCD458680 ESH458478:ESH458680 EIL458478:EIL458680 DYP458478:DYP458680 DOT458478:DOT458680 DEX458478:DEX458680 CVB458478:CVB458680 CLF458478:CLF458680 CBJ458478:CBJ458680 BRN458478:BRN458680 BHR458478:BHR458680 AXV458478:AXV458680 ANZ458478:ANZ458680 AED458478:AED458680 UH458478:UH458680 KL458478:KL458680 AA458478:AA458680 WWX392942:WWX393144 WNB392942:WNB393144 WDF392942:WDF393144 VTJ392942:VTJ393144 VJN392942:VJN393144 UZR392942:UZR393144 UPV392942:UPV393144 UFZ392942:UFZ393144 TWD392942:TWD393144 TMH392942:TMH393144 TCL392942:TCL393144 SSP392942:SSP393144 SIT392942:SIT393144 RYX392942:RYX393144 RPB392942:RPB393144 RFF392942:RFF393144 QVJ392942:QVJ393144 QLN392942:QLN393144 QBR392942:QBR393144 PRV392942:PRV393144 PHZ392942:PHZ393144 OYD392942:OYD393144 OOH392942:OOH393144 OEL392942:OEL393144 NUP392942:NUP393144 NKT392942:NKT393144 NAX392942:NAX393144 MRB392942:MRB393144 MHF392942:MHF393144 LXJ392942:LXJ393144 LNN392942:LNN393144 LDR392942:LDR393144 KTV392942:KTV393144 KJZ392942:KJZ393144 KAD392942:KAD393144 JQH392942:JQH393144 JGL392942:JGL393144 IWP392942:IWP393144 IMT392942:IMT393144 ICX392942:ICX393144 HTB392942:HTB393144 HJF392942:HJF393144 GZJ392942:GZJ393144 GPN392942:GPN393144 GFR392942:GFR393144 FVV392942:FVV393144 FLZ392942:FLZ393144 FCD392942:FCD393144 ESH392942:ESH393144 EIL392942:EIL393144 DYP392942:DYP393144 DOT392942:DOT393144 DEX392942:DEX393144 CVB392942:CVB393144 CLF392942:CLF393144 CBJ392942:CBJ393144 BRN392942:BRN393144 BHR392942:BHR393144 AXV392942:AXV393144 ANZ392942:ANZ393144 AED392942:AED393144 UH392942:UH393144 KL392942:KL393144 AA392942:AA393144 WWX327406:WWX327608 WNB327406:WNB327608 WDF327406:WDF327608 VTJ327406:VTJ327608 VJN327406:VJN327608 UZR327406:UZR327608 UPV327406:UPV327608 UFZ327406:UFZ327608 TWD327406:TWD327608 TMH327406:TMH327608 TCL327406:TCL327608 SSP327406:SSP327608 SIT327406:SIT327608 RYX327406:RYX327608 RPB327406:RPB327608 RFF327406:RFF327608 QVJ327406:QVJ327608 QLN327406:QLN327608 QBR327406:QBR327608 PRV327406:PRV327608 PHZ327406:PHZ327608 OYD327406:OYD327608 OOH327406:OOH327608 OEL327406:OEL327608 NUP327406:NUP327608 NKT327406:NKT327608 NAX327406:NAX327608 MRB327406:MRB327608 MHF327406:MHF327608 LXJ327406:LXJ327608 LNN327406:LNN327608 LDR327406:LDR327608 KTV327406:KTV327608 KJZ327406:KJZ327608 KAD327406:KAD327608 JQH327406:JQH327608 JGL327406:JGL327608 IWP327406:IWP327608 IMT327406:IMT327608 ICX327406:ICX327608 HTB327406:HTB327608 HJF327406:HJF327608 GZJ327406:GZJ327608 GPN327406:GPN327608 GFR327406:GFR327608 FVV327406:FVV327608 FLZ327406:FLZ327608 FCD327406:FCD327608 ESH327406:ESH327608 EIL327406:EIL327608 DYP327406:DYP327608 DOT327406:DOT327608 DEX327406:DEX327608 CVB327406:CVB327608 CLF327406:CLF327608 CBJ327406:CBJ327608 BRN327406:BRN327608 BHR327406:BHR327608 AXV327406:AXV327608 ANZ327406:ANZ327608 AED327406:AED327608 UH327406:UH327608 KL327406:KL327608 AA327406:AA327608 WWX261870:WWX262072 WNB261870:WNB262072 WDF261870:WDF262072 VTJ261870:VTJ262072 VJN261870:VJN262072 UZR261870:UZR262072 UPV261870:UPV262072 UFZ261870:UFZ262072 TWD261870:TWD262072 TMH261870:TMH262072 TCL261870:TCL262072 SSP261870:SSP262072 SIT261870:SIT262072 RYX261870:RYX262072 RPB261870:RPB262072 RFF261870:RFF262072 QVJ261870:QVJ262072 QLN261870:QLN262072 QBR261870:QBR262072 PRV261870:PRV262072 PHZ261870:PHZ262072 OYD261870:OYD262072 OOH261870:OOH262072 OEL261870:OEL262072 NUP261870:NUP262072 NKT261870:NKT262072 NAX261870:NAX262072 MRB261870:MRB262072 MHF261870:MHF262072 LXJ261870:LXJ262072 LNN261870:LNN262072 LDR261870:LDR262072 KTV261870:KTV262072 KJZ261870:KJZ262072 KAD261870:KAD262072 JQH261870:JQH262072 JGL261870:JGL262072 IWP261870:IWP262072 IMT261870:IMT262072 ICX261870:ICX262072 HTB261870:HTB262072 HJF261870:HJF262072 GZJ261870:GZJ262072 GPN261870:GPN262072 GFR261870:GFR262072 FVV261870:FVV262072 FLZ261870:FLZ262072 FCD261870:FCD262072 ESH261870:ESH262072 EIL261870:EIL262072 DYP261870:DYP262072 DOT261870:DOT262072 DEX261870:DEX262072 CVB261870:CVB262072 CLF261870:CLF262072 CBJ261870:CBJ262072 BRN261870:BRN262072 BHR261870:BHR262072 AXV261870:AXV262072 ANZ261870:ANZ262072 AED261870:AED262072 UH261870:UH262072 KL261870:KL262072 AA261870:AA262072 WWX196334:WWX196536 WNB196334:WNB196536 WDF196334:WDF196536 VTJ196334:VTJ196536 VJN196334:VJN196536 UZR196334:UZR196536 UPV196334:UPV196536 UFZ196334:UFZ196536 TWD196334:TWD196536 TMH196334:TMH196536 TCL196334:TCL196536 SSP196334:SSP196536 SIT196334:SIT196536 RYX196334:RYX196536 RPB196334:RPB196536 RFF196334:RFF196536 QVJ196334:QVJ196536 QLN196334:QLN196536 QBR196334:QBR196536 PRV196334:PRV196536 PHZ196334:PHZ196536 OYD196334:OYD196536 OOH196334:OOH196536 OEL196334:OEL196536 NUP196334:NUP196536 NKT196334:NKT196536 NAX196334:NAX196536 MRB196334:MRB196536 MHF196334:MHF196536 LXJ196334:LXJ196536 LNN196334:LNN196536 LDR196334:LDR196536 KTV196334:KTV196536 KJZ196334:KJZ196536 KAD196334:KAD196536 JQH196334:JQH196536 JGL196334:JGL196536 IWP196334:IWP196536 IMT196334:IMT196536 ICX196334:ICX196536 HTB196334:HTB196536 HJF196334:HJF196536 GZJ196334:GZJ196536 GPN196334:GPN196536 GFR196334:GFR196536 FVV196334:FVV196536 FLZ196334:FLZ196536 FCD196334:FCD196536 ESH196334:ESH196536 EIL196334:EIL196536 DYP196334:DYP196536 DOT196334:DOT196536 DEX196334:DEX196536 CVB196334:CVB196536 CLF196334:CLF196536 CBJ196334:CBJ196536 BRN196334:BRN196536 BHR196334:BHR196536 AXV196334:AXV196536 ANZ196334:ANZ196536 AED196334:AED196536 UH196334:UH196536 KL196334:KL196536 AA196334:AA196536 WWX130798:WWX131000 WNB130798:WNB131000 WDF130798:WDF131000 VTJ130798:VTJ131000 VJN130798:VJN131000 UZR130798:UZR131000 UPV130798:UPV131000 UFZ130798:UFZ131000 TWD130798:TWD131000 TMH130798:TMH131000 TCL130798:TCL131000 SSP130798:SSP131000 SIT130798:SIT131000 RYX130798:RYX131000 RPB130798:RPB131000 RFF130798:RFF131000 QVJ130798:QVJ131000 QLN130798:QLN131000 QBR130798:QBR131000 PRV130798:PRV131000 PHZ130798:PHZ131000 OYD130798:OYD131000 OOH130798:OOH131000 OEL130798:OEL131000 NUP130798:NUP131000 NKT130798:NKT131000 NAX130798:NAX131000 MRB130798:MRB131000 MHF130798:MHF131000 LXJ130798:LXJ131000 LNN130798:LNN131000 LDR130798:LDR131000 KTV130798:KTV131000 KJZ130798:KJZ131000 KAD130798:KAD131000 JQH130798:JQH131000 JGL130798:JGL131000 IWP130798:IWP131000 IMT130798:IMT131000 ICX130798:ICX131000 HTB130798:HTB131000 HJF130798:HJF131000 GZJ130798:GZJ131000 GPN130798:GPN131000 GFR130798:GFR131000 FVV130798:FVV131000 FLZ130798:FLZ131000 FCD130798:FCD131000 ESH130798:ESH131000 EIL130798:EIL131000 DYP130798:DYP131000 DOT130798:DOT131000 DEX130798:DEX131000 CVB130798:CVB131000 CLF130798:CLF131000 CBJ130798:CBJ131000 BRN130798:BRN131000 BHR130798:BHR131000 AXV130798:AXV131000 ANZ130798:ANZ131000 AED130798:AED131000 UH130798:UH131000 KL130798:KL131000 AA130798:AA131000 WWX65262:WWX65464 WNB65262:WNB65464 WDF65262:WDF65464 VTJ65262:VTJ65464 VJN65262:VJN65464 UZR65262:UZR65464 UPV65262:UPV65464 UFZ65262:UFZ65464 TWD65262:TWD65464 TMH65262:TMH65464 TCL65262:TCL65464 SSP65262:SSP65464 SIT65262:SIT65464 RYX65262:RYX65464 RPB65262:RPB65464 RFF65262:RFF65464 QVJ65262:QVJ65464 QLN65262:QLN65464 QBR65262:QBR65464 PRV65262:PRV65464 PHZ65262:PHZ65464 OYD65262:OYD65464 OOH65262:OOH65464 OEL65262:OEL65464 NUP65262:NUP65464 NKT65262:NKT65464 NAX65262:NAX65464 MRB65262:MRB65464 MHF65262:MHF65464 LXJ65262:LXJ65464 LNN65262:LNN65464 LDR65262:LDR65464 KTV65262:KTV65464 KJZ65262:KJZ65464 KAD65262:KAD65464 JQH65262:JQH65464 JGL65262:JGL65464 IWP65262:IWP65464 IMT65262:IMT65464 ICX65262:ICX65464 HTB65262:HTB65464 HJF65262:HJF65464 GZJ65262:GZJ65464 GPN65262:GPN65464 GFR65262:GFR65464 FVV65262:FVV65464 FLZ65262:FLZ65464 FCD65262:FCD65464 ESH65262:ESH65464 EIL65262:EIL65464 DYP65262:DYP65464 DOT65262:DOT65464 DEX65262:DEX65464 CVB65262:CVB65464 CLF65262:CLF65464 CBJ65262:CBJ65464 BRN65262:BRN65464 BHR65262:BHR65464 AXV65262:AXV65464 ANZ65262:ANZ65464 AED65262:AED65464 UH65262:UH65464 KL65262:KL65464 WWX5:WWX11 WNB5:WNB11 WDF5:WDF11 VTJ5:VTJ11 VJN5:VJN11 UZR5:UZR11 UPV5:UPV11 UFZ5:UFZ11 TWD5:TWD11 TMH5:TMH11 TCL5:TCL11 SSP5:SSP11 SIT5:SIT11 RYX5:RYX11 RPB5:RPB11 RFF5:RFF11 QVJ5:QVJ11 QLN5:QLN11 QBR5:QBR11 PRV5:PRV11 PHZ5:PHZ11 OYD5:OYD11 OOH5:OOH11 OEL5:OEL11 NUP5:NUP11 NKT5:NKT11 NAX5:NAX11 MRB5:MRB11 MHF5:MHF11 LXJ5:LXJ11 LNN5:LNN11 LDR5:LDR11 KTV5:KTV11 KJZ5:KJZ11 KAD5:KAD11 JQH5:JQH11 JGL5:JGL11 IWP5:IWP11 IMT5:IMT11 ICX5:ICX11 HTB5:HTB11 HJF5:HJF11 GZJ5:GZJ11 GPN5:GPN11 GFR5:GFR11 FVV5:FVV11 FLZ5:FLZ11 FCD5:FCD11 ESH5:ESH11 EIL5:EIL11 DYP5:DYP11 DOT5:DOT11 DEX5:DEX11 CVB5:CVB11 CLF5:CLF11 CBJ5:CBJ11 BRN5:BRN11 BHR5:BHR11 AXV5:AXV11 ANZ5:ANZ11 AED5:AED11 UH5:UH11 KL5:KL11">
      <formula1>$B$12:$B$12</formula1>
    </dataValidation>
    <dataValidation type="whole" allowBlank="1" showInputMessage="1" showErrorMessage="1" sqref="X65262:Z65468 KI65262:KK65468 UE65262:UG65468 AEA65262:AEC65468 ANW65262:ANY65468 AXS65262:AXU65468 BHO65262:BHQ65468 BRK65262:BRM65468 CBG65262:CBI65468 CLC65262:CLE65468 CUY65262:CVA65468 DEU65262:DEW65468 DOQ65262:DOS65468 DYM65262:DYO65468 EII65262:EIK65468 ESE65262:ESG65468 FCA65262:FCC65468 FLW65262:FLY65468 FVS65262:FVU65468 GFO65262:GFQ65468 GPK65262:GPM65468 GZG65262:GZI65468 HJC65262:HJE65468 HSY65262:HTA65468 ICU65262:ICW65468 IMQ65262:IMS65468 IWM65262:IWO65468 JGI65262:JGK65468 JQE65262:JQG65468 KAA65262:KAC65468 KJW65262:KJY65468 KTS65262:KTU65468 LDO65262:LDQ65468 LNK65262:LNM65468 LXG65262:LXI65468 MHC65262:MHE65468 MQY65262:MRA65468 NAU65262:NAW65468 NKQ65262:NKS65468 NUM65262:NUO65468 OEI65262:OEK65468 OOE65262:OOG65468 OYA65262:OYC65468 PHW65262:PHY65468 PRS65262:PRU65468 QBO65262:QBQ65468 QLK65262:QLM65468 QVG65262:QVI65468 RFC65262:RFE65468 ROY65262:RPA65468 RYU65262:RYW65468 SIQ65262:SIS65468 SSM65262:SSO65468 TCI65262:TCK65468 TME65262:TMG65468 TWA65262:TWC65468 UFW65262:UFY65468 UPS65262:UPU65468 UZO65262:UZQ65468 VJK65262:VJM65468 VTG65262:VTI65468 WDC65262:WDE65468 WMY65262:WNA65468 WWU65262:WWW65468 X130798:Z131004 KI130798:KK131004 UE130798:UG131004 AEA130798:AEC131004 ANW130798:ANY131004 AXS130798:AXU131004 BHO130798:BHQ131004 BRK130798:BRM131004 CBG130798:CBI131004 CLC130798:CLE131004 CUY130798:CVA131004 DEU130798:DEW131004 DOQ130798:DOS131004 DYM130798:DYO131004 EII130798:EIK131004 ESE130798:ESG131004 FCA130798:FCC131004 FLW130798:FLY131004 FVS130798:FVU131004 GFO130798:GFQ131004 GPK130798:GPM131004 GZG130798:GZI131004 HJC130798:HJE131004 HSY130798:HTA131004 ICU130798:ICW131004 IMQ130798:IMS131004 IWM130798:IWO131004 JGI130798:JGK131004 JQE130798:JQG131004 KAA130798:KAC131004 KJW130798:KJY131004 KTS130798:KTU131004 LDO130798:LDQ131004 LNK130798:LNM131004 LXG130798:LXI131004 MHC130798:MHE131004 MQY130798:MRA131004 NAU130798:NAW131004 NKQ130798:NKS131004 NUM130798:NUO131004 OEI130798:OEK131004 OOE130798:OOG131004 OYA130798:OYC131004 PHW130798:PHY131004 PRS130798:PRU131004 QBO130798:QBQ131004 QLK130798:QLM131004 QVG130798:QVI131004 RFC130798:RFE131004 ROY130798:RPA131004 RYU130798:RYW131004 SIQ130798:SIS131004 SSM130798:SSO131004 TCI130798:TCK131004 TME130798:TMG131004 TWA130798:TWC131004 UFW130798:UFY131004 UPS130798:UPU131004 UZO130798:UZQ131004 VJK130798:VJM131004 VTG130798:VTI131004 WDC130798:WDE131004 WMY130798:WNA131004 WWU130798:WWW131004 X196334:Z196540 KI196334:KK196540 UE196334:UG196540 AEA196334:AEC196540 ANW196334:ANY196540 AXS196334:AXU196540 BHO196334:BHQ196540 BRK196334:BRM196540 CBG196334:CBI196540 CLC196334:CLE196540 CUY196334:CVA196540 DEU196334:DEW196540 DOQ196334:DOS196540 DYM196334:DYO196540 EII196334:EIK196540 ESE196334:ESG196540 FCA196334:FCC196540 FLW196334:FLY196540 FVS196334:FVU196540 GFO196334:GFQ196540 GPK196334:GPM196540 GZG196334:GZI196540 HJC196334:HJE196540 HSY196334:HTA196540 ICU196334:ICW196540 IMQ196334:IMS196540 IWM196334:IWO196540 JGI196334:JGK196540 JQE196334:JQG196540 KAA196334:KAC196540 KJW196334:KJY196540 KTS196334:KTU196540 LDO196334:LDQ196540 LNK196334:LNM196540 LXG196334:LXI196540 MHC196334:MHE196540 MQY196334:MRA196540 NAU196334:NAW196540 NKQ196334:NKS196540 NUM196334:NUO196540 OEI196334:OEK196540 OOE196334:OOG196540 OYA196334:OYC196540 PHW196334:PHY196540 PRS196334:PRU196540 QBO196334:QBQ196540 QLK196334:QLM196540 QVG196334:QVI196540 RFC196334:RFE196540 ROY196334:RPA196540 RYU196334:RYW196540 SIQ196334:SIS196540 SSM196334:SSO196540 TCI196334:TCK196540 TME196334:TMG196540 TWA196334:TWC196540 UFW196334:UFY196540 UPS196334:UPU196540 UZO196334:UZQ196540 VJK196334:VJM196540 VTG196334:VTI196540 WDC196334:WDE196540 WMY196334:WNA196540 WWU196334:WWW196540 X261870:Z262076 KI261870:KK262076 UE261870:UG262076 AEA261870:AEC262076 ANW261870:ANY262076 AXS261870:AXU262076 BHO261870:BHQ262076 BRK261870:BRM262076 CBG261870:CBI262076 CLC261870:CLE262076 CUY261870:CVA262076 DEU261870:DEW262076 DOQ261870:DOS262076 DYM261870:DYO262076 EII261870:EIK262076 ESE261870:ESG262076 FCA261870:FCC262076 FLW261870:FLY262076 FVS261870:FVU262076 GFO261870:GFQ262076 GPK261870:GPM262076 GZG261870:GZI262076 HJC261870:HJE262076 HSY261870:HTA262076 ICU261870:ICW262076 IMQ261870:IMS262076 IWM261870:IWO262076 JGI261870:JGK262076 JQE261870:JQG262076 KAA261870:KAC262076 KJW261870:KJY262076 KTS261870:KTU262076 LDO261870:LDQ262076 LNK261870:LNM262076 LXG261870:LXI262076 MHC261870:MHE262076 MQY261870:MRA262076 NAU261870:NAW262076 NKQ261870:NKS262076 NUM261870:NUO262076 OEI261870:OEK262076 OOE261870:OOG262076 OYA261870:OYC262076 PHW261870:PHY262076 PRS261870:PRU262076 QBO261870:QBQ262076 QLK261870:QLM262076 QVG261870:QVI262076 RFC261870:RFE262076 ROY261870:RPA262076 RYU261870:RYW262076 SIQ261870:SIS262076 SSM261870:SSO262076 TCI261870:TCK262076 TME261870:TMG262076 TWA261870:TWC262076 UFW261870:UFY262076 UPS261870:UPU262076 UZO261870:UZQ262076 VJK261870:VJM262076 VTG261870:VTI262076 WDC261870:WDE262076 WMY261870:WNA262076 WWU261870:WWW262076 X327406:Z327612 KI327406:KK327612 UE327406:UG327612 AEA327406:AEC327612 ANW327406:ANY327612 AXS327406:AXU327612 BHO327406:BHQ327612 BRK327406:BRM327612 CBG327406:CBI327612 CLC327406:CLE327612 CUY327406:CVA327612 DEU327406:DEW327612 DOQ327406:DOS327612 DYM327406:DYO327612 EII327406:EIK327612 ESE327406:ESG327612 FCA327406:FCC327612 FLW327406:FLY327612 FVS327406:FVU327612 GFO327406:GFQ327612 GPK327406:GPM327612 GZG327406:GZI327612 HJC327406:HJE327612 HSY327406:HTA327612 ICU327406:ICW327612 IMQ327406:IMS327612 IWM327406:IWO327612 JGI327406:JGK327612 JQE327406:JQG327612 KAA327406:KAC327612 KJW327406:KJY327612 KTS327406:KTU327612 LDO327406:LDQ327612 LNK327406:LNM327612 LXG327406:LXI327612 MHC327406:MHE327612 MQY327406:MRA327612 NAU327406:NAW327612 NKQ327406:NKS327612 NUM327406:NUO327612 OEI327406:OEK327612 OOE327406:OOG327612 OYA327406:OYC327612 PHW327406:PHY327612 PRS327406:PRU327612 QBO327406:QBQ327612 QLK327406:QLM327612 QVG327406:QVI327612 RFC327406:RFE327612 ROY327406:RPA327612 RYU327406:RYW327612 SIQ327406:SIS327612 SSM327406:SSO327612 TCI327406:TCK327612 TME327406:TMG327612 TWA327406:TWC327612 UFW327406:UFY327612 UPS327406:UPU327612 UZO327406:UZQ327612 VJK327406:VJM327612 VTG327406:VTI327612 WDC327406:WDE327612 WMY327406:WNA327612 WWU327406:WWW327612 X392942:Z393148 KI392942:KK393148 UE392942:UG393148 AEA392942:AEC393148 ANW392942:ANY393148 AXS392942:AXU393148 BHO392942:BHQ393148 BRK392942:BRM393148 CBG392942:CBI393148 CLC392942:CLE393148 CUY392942:CVA393148 DEU392942:DEW393148 DOQ392942:DOS393148 DYM392942:DYO393148 EII392942:EIK393148 ESE392942:ESG393148 FCA392942:FCC393148 FLW392942:FLY393148 FVS392942:FVU393148 GFO392942:GFQ393148 GPK392942:GPM393148 GZG392942:GZI393148 HJC392942:HJE393148 HSY392942:HTA393148 ICU392942:ICW393148 IMQ392942:IMS393148 IWM392942:IWO393148 JGI392942:JGK393148 JQE392942:JQG393148 KAA392942:KAC393148 KJW392942:KJY393148 KTS392942:KTU393148 LDO392942:LDQ393148 LNK392942:LNM393148 LXG392942:LXI393148 MHC392942:MHE393148 MQY392942:MRA393148 NAU392942:NAW393148 NKQ392942:NKS393148 NUM392942:NUO393148 OEI392942:OEK393148 OOE392942:OOG393148 OYA392942:OYC393148 PHW392942:PHY393148 PRS392942:PRU393148 QBO392942:QBQ393148 QLK392942:QLM393148 QVG392942:QVI393148 RFC392942:RFE393148 ROY392942:RPA393148 RYU392942:RYW393148 SIQ392942:SIS393148 SSM392942:SSO393148 TCI392942:TCK393148 TME392942:TMG393148 TWA392942:TWC393148 UFW392942:UFY393148 UPS392942:UPU393148 UZO392942:UZQ393148 VJK392942:VJM393148 VTG392942:VTI393148 WDC392942:WDE393148 WMY392942:WNA393148 WWU392942:WWW393148 X458478:Z458684 KI458478:KK458684 UE458478:UG458684 AEA458478:AEC458684 ANW458478:ANY458684 AXS458478:AXU458684 BHO458478:BHQ458684 BRK458478:BRM458684 CBG458478:CBI458684 CLC458478:CLE458684 CUY458478:CVA458684 DEU458478:DEW458684 DOQ458478:DOS458684 DYM458478:DYO458684 EII458478:EIK458684 ESE458478:ESG458684 FCA458478:FCC458684 FLW458478:FLY458684 FVS458478:FVU458684 GFO458478:GFQ458684 GPK458478:GPM458684 GZG458478:GZI458684 HJC458478:HJE458684 HSY458478:HTA458684 ICU458478:ICW458684 IMQ458478:IMS458684 IWM458478:IWO458684 JGI458478:JGK458684 JQE458478:JQG458684 KAA458478:KAC458684 KJW458478:KJY458684 KTS458478:KTU458684 LDO458478:LDQ458684 LNK458478:LNM458684 LXG458478:LXI458684 MHC458478:MHE458684 MQY458478:MRA458684 NAU458478:NAW458684 NKQ458478:NKS458684 NUM458478:NUO458684 OEI458478:OEK458684 OOE458478:OOG458684 OYA458478:OYC458684 PHW458478:PHY458684 PRS458478:PRU458684 QBO458478:QBQ458684 QLK458478:QLM458684 QVG458478:QVI458684 RFC458478:RFE458684 ROY458478:RPA458684 RYU458478:RYW458684 SIQ458478:SIS458684 SSM458478:SSO458684 TCI458478:TCK458684 TME458478:TMG458684 TWA458478:TWC458684 UFW458478:UFY458684 UPS458478:UPU458684 UZO458478:UZQ458684 VJK458478:VJM458684 VTG458478:VTI458684 WDC458478:WDE458684 WMY458478:WNA458684 WWU458478:WWW458684 X524014:Z524220 KI524014:KK524220 UE524014:UG524220 AEA524014:AEC524220 ANW524014:ANY524220 AXS524014:AXU524220 BHO524014:BHQ524220 BRK524014:BRM524220 CBG524014:CBI524220 CLC524014:CLE524220 CUY524014:CVA524220 DEU524014:DEW524220 DOQ524014:DOS524220 DYM524014:DYO524220 EII524014:EIK524220 ESE524014:ESG524220 FCA524014:FCC524220 FLW524014:FLY524220 FVS524014:FVU524220 GFO524014:GFQ524220 GPK524014:GPM524220 GZG524014:GZI524220 HJC524014:HJE524220 HSY524014:HTA524220 ICU524014:ICW524220 IMQ524014:IMS524220 IWM524014:IWO524220 JGI524014:JGK524220 JQE524014:JQG524220 KAA524014:KAC524220 KJW524014:KJY524220 KTS524014:KTU524220 LDO524014:LDQ524220 LNK524014:LNM524220 LXG524014:LXI524220 MHC524014:MHE524220 MQY524014:MRA524220 NAU524014:NAW524220 NKQ524014:NKS524220 NUM524014:NUO524220 OEI524014:OEK524220 OOE524014:OOG524220 OYA524014:OYC524220 PHW524014:PHY524220 PRS524014:PRU524220 QBO524014:QBQ524220 QLK524014:QLM524220 QVG524014:QVI524220 RFC524014:RFE524220 ROY524014:RPA524220 RYU524014:RYW524220 SIQ524014:SIS524220 SSM524014:SSO524220 TCI524014:TCK524220 TME524014:TMG524220 TWA524014:TWC524220 UFW524014:UFY524220 UPS524014:UPU524220 UZO524014:UZQ524220 VJK524014:VJM524220 VTG524014:VTI524220 WDC524014:WDE524220 WMY524014:WNA524220 WWU524014:WWW524220 X589550:Z589756 KI589550:KK589756 UE589550:UG589756 AEA589550:AEC589756 ANW589550:ANY589756 AXS589550:AXU589756 BHO589550:BHQ589756 BRK589550:BRM589756 CBG589550:CBI589756 CLC589550:CLE589756 CUY589550:CVA589756 DEU589550:DEW589756 DOQ589550:DOS589756 DYM589550:DYO589756 EII589550:EIK589756 ESE589550:ESG589756 FCA589550:FCC589756 FLW589550:FLY589756 FVS589550:FVU589756 GFO589550:GFQ589756 GPK589550:GPM589756 GZG589550:GZI589756 HJC589550:HJE589756 HSY589550:HTA589756 ICU589550:ICW589756 IMQ589550:IMS589756 IWM589550:IWO589756 JGI589550:JGK589756 JQE589550:JQG589756 KAA589550:KAC589756 KJW589550:KJY589756 KTS589550:KTU589756 LDO589550:LDQ589756 LNK589550:LNM589756 LXG589550:LXI589756 MHC589550:MHE589756 MQY589550:MRA589756 NAU589550:NAW589756 NKQ589550:NKS589756 NUM589550:NUO589756 OEI589550:OEK589756 OOE589550:OOG589756 OYA589550:OYC589756 PHW589550:PHY589756 PRS589550:PRU589756 QBO589550:QBQ589756 QLK589550:QLM589756 QVG589550:QVI589756 RFC589550:RFE589756 ROY589550:RPA589756 RYU589550:RYW589756 SIQ589550:SIS589756 SSM589550:SSO589756 TCI589550:TCK589756 TME589550:TMG589756 TWA589550:TWC589756 UFW589550:UFY589756 UPS589550:UPU589756 UZO589550:UZQ589756 VJK589550:VJM589756 VTG589550:VTI589756 WDC589550:WDE589756 WMY589550:WNA589756 WWU589550:WWW589756 X655086:Z655292 KI655086:KK655292 UE655086:UG655292 AEA655086:AEC655292 ANW655086:ANY655292 AXS655086:AXU655292 BHO655086:BHQ655292 BRK655086:BRM655292 CBG655086:CBI655292 CLC655086:CLE655292 CUY655086:CVA655292 DEU655086:DEW655292 DOQ655086:DOS655292 DYM655086:DYO655292 EII655086:EIK655292 ESE655086:ESG655292 FCA655086:FCC655292 FLW655086:FLY655292 FVS655086:FVU655292 GFO655086:GFQ655292 GPK655086:GPM655292 GZG655086:GZI655292 HJC655086:HJE655292 HSY655086:HTA655292 ICU655086:ICW655292 IMQ655086:IMS655292 IWM655086:IWO655292 JGI655086:JGK655292 JQE655086:JQG655292 KAA655086:KAC655292 KJW655086:KJY655292 KTS655086:KTU655292 LDO655086:LDQ655292 LNK655086:LNM655292 LXG655086:LXI655292 MHC655086:MHE655292 MQY655086:MRA655292 NAU655086:NAW655292 NKQ655086:NKS655292 NUM655086:NUO655292 OEI655086:OEK655292 OOE655086:OOG655292 OYA655086:OYC655292 PHW655086:PHY655292 PRS655086:PRU655292 QBO655086:QBQ655292 QLK655086:QLM655292 QVG655086:QVI655292 RFC655086:RFE655292 ROY655086:RPA655292 RYU655086:RYW655292 SIQ655086:SIS655292 SSM655086:SSO655292 TCI655086:TCK655292 TME655086:TMG655292 TWA655086:TWC655292 UFW655086:UFY655292 UPS655086:UPU655292 UZO655086:UZQ655292 VJK655086:VJM655292 VTG655086:VTI655292 WDC655086:WDE655292 WMY655086:WNA655292 WWU655086:WWW655292 X720622:Z720828 KI720622:KK720828 UE720622:UG720828 AEA720622:AEC720828 ANW720622:ANY720828 AXS720622:AXU720828 BHO720622:BHQ720828 BRK720622:BRM720828 CBG720622:CBI720828 CLC720622:CLE720828 CUY720622:CVA720828 DEU720622:DEW720828 DOQ720622:DOS720828 DYM720622:DYO720828 EII720622:EIK720828 ESE720622:ESG720828 FCA720622:FCC720828 FLW720622:FLY720828 FVS720622:FVU720828 GFO720622:GFQ720828 GPK720622:GPM720828 GZG720622:GZI720828 HJC720622:HJE720828 HSY720622:HTA720828 ICU720622:ICW720828 IMQ720622:IMS720828 IWM720622:IWO720828 JGI720622:JGK720828 JQE720622:JQG720828 KAA720622:KAC720828 KJW720622:KJY720828 KTS720622:KTU720828 LDO720622:LDQ720828 LNK720622:LNM720828 LXG720622:LXI720828 MHC720622:MHE720828 MQY720622:MRA720828 NAU720622:NAW720828 NKQ720622:NKS720828 NUM720622:NUO720828 OEI720622:OEK720828 OOE720622:OOG720828 OYA720622:OYC720828 PHW720622:PHY720828 PRS720622:PRU720828 QBO720622:QBQ720828 QLK720622:QLM720828 QVG720622:QVI720828 RFC720622:RFE720828 ROY720622:RPA720828 RYU720622:RYW720828 SIQ720622:SIS720828 SSM720622:SSO720828 TCI720622:TCK720828 TME720622:TMG720828 TWA720622:TWC720828 UFW720622:UFY720828 UPS720622:UPU720828 UZO720622:UZQ720828 VJK720622:VJM720828 VTG720622:VTI720828 WDC720622:WDE720828 WMY720622:WNA720828 WWU720622:WWW720828 X786158:Z786364 KI786158:KK786364 UE786158:UG786364 AEA786158:AEC786364 ANW786158:ANY786364 AXS786158:AXU786364 BHO786158:BHQ786364 BRK786158:BRM786364 CBG786158:CBI786364 CLC786158:CLE786364 CUY786158:CVA786364 DEU786158:DEW786364 DOQ786158:DOS786364 DYM786158:DYO786364 EII786158:EIK786364 ESE786158:ESG786364 FCA786158:FCC786364 FLW786158:FLY786364 FVS786158:FVU786364 GFO786158:GFQ786364 GPK786158:GPM786364 GZG786158:GZI786364 HJC786158:HJE786364 HSY786158:HTA786364 ICU786158:ICW786364 IMQ786158:IMS786364 IWM786158:IWO786364 JGI786158:JGK786364 JQE786158:JQG786364 KAA786158:KAC786364 KJW786158:KJY786364 KTS786158:KTU786364 LDO786158:LDQ786364 LNK786158:LNM786364 LXG786158:LXI786364 MHC786158:MHE786364 MQY786158:MRA786364 NAU786158:NAW786364 NKQ786158:NKS786364 NUM786158:NUO786364 OEI786158:OEK786364 OOE786158:OOG786364 OYA786158:OYC786364 PHW786158:PHY786364 PRS786158:PRU786364 QBO786158:QBQ786364 QLK786158:QLM786364 QVG786158:QVI786364 RFC786158:RFE786364 ROY786158:RPA786364 RYU786158:RYW786364 SIQ786158:SIS786364 SSM786158:SSO786364 TCI786158:TCK786364 TME786158:TMG786364 TWA786158:TWC786364 UFW786158:UFY786364 UPS786158:UPU786364 UZO786158:UZQ786364 VJK786158:VJM786364 VTG786158:VTI786364 WDC786158:WDE786364 WMY786158:WNA786364 WWU786158:WWW786364 X851694:Z851900 KI851694:KK851900 UE851694:UG851900 AEA851694:AEC851900 ANW851694:ANY851900 AXS851694:AXU851900 BHO851694:BHQ851900 BRK851694:BRM851900 CBG851694:CBI851900 CLC851694:CLE851900 CUY851694:CVA851900 DEU851694:DEW851900 DOQ851694:DOS851900 DYM851694:DYO851900 EII851694:EIK851900 ESE851694:ESG851900 FCA851694:FCC851900 FLW851694:FLY851900 FVS851694:FVU851900 GFO851694:GFQ851900 GPK851694:GPM851900 GZG851694:GZI851900 HJC851694:HJE851900 HSY851694:HTA851900 ICU851694:ICW851900 IMQ851694:IMS851900 IWM851694:IWO851900 JGI851694:JGK851900 JQE851694:JQG851900 KAA851694:KAC851900 KJW851694:KJY851900 KTS851694:KTU851900 LDO851694:LDQ851900 LNK851694:LNM851900 LXG851694:LXI851900 MHC851694:MHE851900 MQY851694:MRA851900 NAU851694:NAW851900 NKQ851694:NKS851900 NUM851694:NUO851900 OEI851694:OEK851900 OOE851694:OOG851900 OYA851694:OYC851900 PHW851694:PHY851900 PRS851694:PRU851900 QBO851694:QBQ851900 QLK851694:QLM851900 QVG851694:QVI851900 RFC851694:RFE851900 ROY851694:RPA851900 RYU851694:RYW851900 SIQ851694:SIS851900 SSM851694:SSO851900 TCI851694:TCK851900 TME851694:TMG851900 TWA851694:TWC851900 UFW851694:UFY851900 UPS851694:UPU851900 UZO851694:UZQ851900 VJK851694:VJM851900 VTG851694:VTI851900 WDC851694:WDE851900 WMY851694:WNA851900 WWU851694:WWW851900 X917230:Z917436 KI917230:KK917436 UE917230:UG917436 AEA917230:AEC917436 ANW917230:ANY917436 AXS917230:AXU917436 BHO917230:BHQ917436 BRK917230:BRM917436 CBG917230:CBI917436 CLC917230:CLE917436 CUY917230:CVA917436 DEU917230:DEW917436 DOQ917230:DOS917436 DYM917230:DYO917436 EII917230:EIK917436 ESE917230:ESG917436 FCA917230:FCC917436 FLW917230:FLY917436 FVS917230:FVU917436 GFO917230:GFQ917436 GPK917230:GPM917436 GZG917230:GZI917436 HJC917230:HJE917436 HSY917230:HTA917436 ICU917230:ICW917436 IMQ917230:IMS917436 IWM917230:IWO917436 JGI917230:JGK917436 JQE917230:JQG917436 KAA917230:KAC917436 KJW917230:KJY917436 KTS917230:KTU917436 LDO917230:LDQ917436 LNK917230:LNM917436 LXG917230:LXI917436 MHC917230:MHE917436 MQY917230:MRA917436 NAU917230:NAW917436 NKQ917230:NKS917436 NUM917230:NUO917436 OEI917230:OEK917436 OOE917230:OOG917436 OYA917230:OYC917436 PHW917230:PHY917436 PRS917230:PRU917436 QBO917230:QBQ917436 QLK917230:QLM917436 QVG917230:QVI917436 RFC917230:RFE917436 ROY917230:RPA917436 RYU917230:RYW917436 SIQ917230:SIS917436 SSM917230:SSO917436 TCI917230:TCK917436 TME917230:TMG917436 TWA917230:TWC917436 UFW917230:UFY917436 UPS917230:UPU917436 UZO917230:UZQ917436 VJK917230:VJM917436 VTG917230:VTI917436 WDC917230:WDE917436 WMY917230:WNA917436 WWU917230:WWW917436 X982766:Z982972 KI982766:KK982972 UE982766:UG982972 AEA982766:AEC982972 ANW982766:ANY982972 AXS982766:AXU982972 BHO982766:BHQ982972 BRK982766:BRM982972 CBG982766:CBI982972 CLC982766:CLE982972 CUY982766:CVA982972 DEU982766:DEW982972 DOQ982766:DOS982972 DYM982766:DYO982972 EII982766:EIK982972 ESE982766:ESG982972 FCA982766:FCC982972 FLW982766:FLY982972 FVS982766:FVU982972 GFO982766:GFQ982972 GPK982766:GPM982972 GZG982766:GZI982972 HJC982766:HJE982972 HSY982766:HTA982972 ICU982766:ICW982972 IMQ982766:IMS982972 IWM982766:IWO982972 JGI982766:JGK982972 JQE982766:JQG982972 KAA982766:KAC982972 KJW982766:KJY982972 KTS982766:KTU982972 LDO982766:LDQ982972 LNK982766:LNM982972 LXG982766:LXI982972 MHC982766:MHE982972 MQY982766:MRA982972 NAU982766:NAW982972 NKQ982766:NKS982972 NUM982766:NUO982972 OEI982766:OEK982972 OOE982766:OOG982972 OYA982766:OYC982972 PHW982766:PHY982972 PRS982766:PRU982972 QBO982766:QBQ982972 QLK982766:QLM982972 QVG982766:QVI982972 RFC982766:RFE982972 ROY982766:RPA982972 RYU982766:RYW982972 SIQ982766:SIS982972 SSM982766:SSO982972 TCI982766:TCK982972 TME982766:TMG982972 TWA982766:TWC982972 UFW982766:UFY982972 UPS982766:UPU982972 UZO982766:UZQ982972 VJK982766:VJM982972 VTG982766:VTI982972 WDC982766:WDE982972 WMY982766:WNA982972 WWU982766:WWW982972 WWU5:WWW11 KI5:KK11 UE5:UG11 AEA5:AEC11 ANW5:ANY11 AXS5:AXU11 BHO5:BHQ11 BRK5:BRM11 CBG5:CBI11 CLC5:CLE11 CUY5:CVA11 DEU5:DEW11 DOQ5:DOS11 DYM5:DYO11 EII5:EIK11 ESE5:ESG11 FCA5:FCC11 FLW5:FLY11 FVS5:FVU11 GFO5:GFQ11 GPK5:GPM11 GZG5:GZI11 HJC5:HJE11 HSY5:HTA11 ICU5:ICW11 IMQ5:IMS11 IWM5:IWO11 JGI5:JGK11 JQE5:JQG11 KAA5:KAC11 KJW5:KJY11 KTS5:KTU11 LDO5:LDQ11 LNK5:LNM11 LXG5:LXI11 MHC5:MHE11 MQY5:MRA11 NAU5:NAW11 NKQ5:NKS11 NUM5:NUO11 OEI5:OEK11 OOE5:OOG11 OYA5:OYC11 PHW5:PHY11 PRS5:PRU11 QBO5:QBQ11 QLK5:QLM11 QVG5:QVI11 RFC5:RFE11 ROY5:RPA11 RYU5:RYW11 SIQ5:SIS11 SSM5:SSO11 TCI5:TCK11 TME5:TMG11 TWA5:TWC11 UFW5:UFY11 UPS5:UPU11 UZO5:UZQ11 VJK5:VJM11 VTG5:VTI11 WDC5:WDE11 WMY5:WNA11">
      <formula1>0</formula1>
      <formula2>100000000000</formula2>
    </dataValidation>
    <dataValidation type="decimal" allowBlank="1" showInputMessage="1" showErrorMessage="1" sqref="KV65262:KV65468 UR65262:UR65468 AEN65262:AEN65468 AOJ65262:AOJ65468 AYF65262:AYF65468 BIB65262:BIB65468 BRX65262:BRX65468 CBT65262:CBT65468 CLP65262:CLP65468 CVL65262:CVL65468 DFH65262:DFH65468 DPD65262:DPD65468 DYZ65262:DYZ65468 EIV65262:EIV65468 ESR65262:ESR65468 FCN65262:FCN65468 FMJ65262:FMJ65468 FWF65262:FWF65468 GGB65262:GGB65468 GPX65262:GPX65468 GZT65262:GZT65468 HJP65262:HJP65468 HTL65262:HTL65468 IDH65262:IDH65468 IND65262:IND65468 IWZ65262:IWZ65468 JGV65262:JGV65468 JQR65262:JQR65468 KAN65262:KAN65468 KKJ65262:KKJ65468 KUF65262:KUF65468 LEB65262:LEB65468 LNX65262:LNX65468 LXT65262:LXT65468 MHP65262:MHP65468 MRL65262:MRL65468 NBH65262:NBH65468 NLD65262:NLD65468 NUZ65262:NUZ65468 OEV65262:OEV65468 OOR65262:OOR65468 OYN65262:OYN65468 PIJ65262:PIJ65468 PSF65262:PSF65468 QCB65262:QCB65468 QLX65262:QLX65468 QVT65262:QVT65468 RFP65262:RFP65468 RPL65262:RPL65468 RZH65262:RZH65468 SJD65262:SJD65468 SSZ65262:SSZ65468 TCV65262:TCV65468 TMR65262:TMR65468 TWN65262:TWN65468 UGJ65262:UGJ65468 UQF65262:UQF65468 VAB65262:VAB65468 VJX65262:VJX65468 VTT65262:VTT65468 WDP65262:WDP65468 WNL65262:WNL65468 WXH65262:WXH65468 KV130798:KV131004 UR130798:UR131004 AEN130798:AEN131004 AOJ130798:AOJ131004 AYF130798:AYF131004 BIB130798:BIB131004 BRX130798:BRX131004 CBT130798:CBT131004 CLP130798:CLP131004 CVL130798:CVL131004 DFH130798:DFH131004 DPD130798:DPD131004 DYZ130798:DYZ131004 EIV130798:EIV131004 ESR130798:ESR131004 FCN130798:FCN131004 FMJ130798:FMJ131004 FWF130798:FWF131004 GGB130798:GGB131004 GPX130798:GPX131004 GZT130798:GZT131004 HJP130798:HJP131004 HTL130798:HTL131004 IDH130798:IDH131004 IND130798:IND131004 IWZ130798:IWZ131004 JGV130798:JGV131004 JQR130798:JQR131004 KAN130798:KAN131004 KKJ130798:KKJ131004 KUF130798:KUF131004 LEB130798:LEB131004 LNX130798:LNX131004 LXT130798:LXT131004 MHP130798:MHP131004 MRL130798:MRL131004 NBH130798:NBH131004 NLD130798:NLD131004 NUZ130798:NUZ131004 OEV130798:OEV131004 OOR130798:OOR131004 OYN130798:OYN131004 PIJ130798:PIJ131004 PSF130798:PSF131004 QCB130798:QCB131004 QLX130798:QLX131004 QVT130798:QVT131004 RFP130798:RFP131004 RPL130798:RPL131004 RZH130798:RZH131004 SJD130798:SJD131004 SSZ130798:SSZ131004 TCV130798:TCV131004 TMR130798:TMR131004 TWN130798:TWN131004 UGJ130798:UGJ131004 UQF130798:UQF131004 VAB130798:VAB131004 VJX130798:VJX131004 VTT130798:VTT131004 WDP130798:WDP131004 WNL130798:WNL131004 WXH130798:WXH131004 KV196334:KV196540 UR196334:UR196540 AEN196334:AEN196540 AOJ196334:AOJ196540 AYF196334:AYF196540 BIB196334:BIB196540 BRX196334:BRX196540 CBT196334:CBT196540 CLP196334:CLP196540 CVL196334:CVL196540 DFH196334:DFH196540 DPD196334:DPD196540 DYZ196334:DYZ196540 EIV196334:EIV196540 ESR196334:ESR196540 FCN196334:FCN196540 FMJ196334:FMJ196540 FWF196334:FWF196540 GGB196334:GGB196540 GPX196334:GPX196540 GZT196334:GZT196540 HJP196334:HJP196540 HTL196334:HTL196540 IDH196334:IDH196540 IND196334:IND196540 IWZ196334:IWZ196540 JGV196334:JGV196540 JQR196334:JQR196540 KAN196334:KAN196540 KKJ196334:KKJ196540 KUF196334:KUF196540 LEB196334:LEB196540 LNX196334:LNX196540 LXT196334:LXT196540 MHP196334:MHP196540 MRL196334:MRL196540 NBH196334:NBH196540 NLD196334:NLD196540 NUZ196334:NUZ196540 OEV196334:OEV196540 OOR196334:OOR196540 OYN196334:OYN196540 PIJ196334:PIJ196540 PSF196334:PSF196540 QCB196334:QCB196540 QLX196334:QLX196540 QVT196334:QVT196540 RFP196334:RFP196540 RPL196334:RPL196540 RZH196334:RZH196540 SJD196334:SJD196540 SSZ196334:SSZ196540 TCV196334:TCV196540 TMR196334:TMR196540 TWN196334:TWN196540 UGJ196334:UGJ196540 UQF196334:UQF196540 VAB196334:VAB196540 VJX196334:VJX196540 VTT196334:VTT196540 WDP196334:WDP196540 WNL196334:WNL196540 WXH196334:WXH196540 KV261870:KV262076 UR261870:UR262076 AEN261870:AEN262076 AOJ261870:AOJ262076 AYF261870:AYF262076 BIB261870:BIB262076 BRX261870:BRX262076 CBT261870:CBT262076 CLP261870:CLP262076 CVL261870:CVL262076 DFH261870:DFH262076 DPD261870:DPD262076 DYZ261870:DYZ262076 EIV261870:EIV262076 ESR261870:ESR262076 FCN261870:FCN262076 FMJ261870:FMJ262076 FWF261870:FWF262076 GGB261870:GGB262076 GPX261870:GPX262076 GZT261870:GZT262076 HJP261870:HJP262076 HTL261870:HTL262076 IDH261870:IDH262076 IND261870:IND262076 IWZ261870:IWZ262076 JGV261870:JGV262076 JQR261870:JQR262076 KAN261870:KAN262076 KKJ261870:KKJ262076 KUF261870:KUF262076 LEB261870:LEB262076 LNX261870:LNX262076 LXT261870:LXT262076 MHP261870:MHP262076 MRL261870:MRL262076 NBH261870:NBH262076 NLD261870:NLD262076 NUZ261870:NUZ262076 OEV261870:OEV262076 OOR261870:OOR262076 OYN261870:OYN262076 PIJ261870:PIJ262076 PSF261870:PSF262076 QCB261870:QCB262076 QLX261870:QLX262076 QVT261870:QVT262076 RFP261870:RFP262076 RPL261870:RPL262076 RZH261870:RZH262076 SJD261870:SJD262076 SSZ261870:SSZ262076 TCV261870:TCV262076 TMR261870:TMR262076 TWN261870:TWN262076 UGJ261870:UGJ262076 UQF261870:UQF262076 VAB261870:VAB262076 VJX261870:VJX262076 VTT261870:VTT262076 WDP261870:WDP262076 WNL261870:WNL262076 WXH261870:WXH262076 KV327406:KV327612 UR327406:UR327612 AEN327406:AEN327612 AOJ327406:AOJ327612 AYF327406:AYF327612 BIB327406:BIB327612 BRX327406:BRX327612 CBT327406:CBT327612 CLP327406:CLP327612 CVL327406:CVL327612 DFH327406:DFH327612 DPD327406:DPD327612 DYZ327406:DYZ327612 EIV327406:EIV327612 ESR327406:ESR327612 FCN327406:FCN327612 FMJ327406:FMJ327612 FWF327406:FWF327612 GGB327406:GGB327612 GPX327406:GPX327612 GZT327406:GZT327612 HJP327406:HJP327612 HTL327406:HTL327612 IDH327406:IDH327612 IND327406:IND327612 IWZ327406:IWZ327612 JGV327406:JGV327612 JQR327406:JQR327612 KAN327406:KAN327612 KKJ327406:KKJ327612 KUF327406:KUF327612 LEB327406:LEB327612 LNX327406:LNX327612 LXT327406:LXT327612 MHP327406:MHP327612 MRL327406:MRL327612 NBH327406:NBH327612 NLD327406:NLD327612 NUZ327406:NUZ327612 OEV327406:OEV327612 OOR327406:OOR327612 OYN327406:OYN327612 PIJ327406:PIJ327612 PSF327406:PSF327612 QCB327406:QCB327612 QLX327406:QLX327612 QVT327406:QVT327612 RFP327406:RFP327612 RPL327406:RPL327612 RZH327406:RZH327612 SJD327406:SJD327612 SSZ327406:SSZ327612 TCV327406:TCV327612 TMR327406:TMR327612 TWN327406:TWN327612 UGJ327406:UGJ327612 UQF327406:UQF327612 VAB327406:VAB327612 VJX327406:VJX327612 VTT327406:VTT327612 WDP327406:WDP327612 WNL327406:WNL327612 WXH327406:WXH327612 KV392942:KV393148 UR392942:UR393148 AEN392942:AEN393148 AOJ392942:AOJ393148 AYF392942:AYF393148 BIB392942:BIB393148 BRX392942:BRX393148 CBT392942:CBT393148 CLP392942:CLP393148 CVL392942:CVL393148 DFH392942:DFH393148 DPD392942:DPD393148 DYZ392942:DYZ393148 EIV392942:EIV393148 ESR392942:ESR393148 FCN392942:FCN393148 FMJ392942:FMJ393148 FWF392942:FWF393148 GGB392942:GGB393148 GPX392942:GPX393148 GZT392942:GZT393148 HJP392942:HJP393148 HTL392942:HTL393148 IDH392942:IDH393148 IND392942:IND393148 IWZ392942:IWZ393148 JGV392942:JGV393148 JQR392942:JQR393148 KAN392942:KAN393148 KKJ392942:KKJ393148 KUF392942:KUF393148 LEB392942:LEB393148 LNX392942:LNX393148 LXT392942:LXT393148 MHP392942:MHP393148 MRL392942:MRL393148 NBH392942:NBH393148 NLD392942:NLD393148 NUZ392942:NUZ393148 OEV392942:OEV393148 OOR392942:OOR393148 OYN392942:OYN393148 PIJ392942:PIJ393148 PSF392942:PSF393148 QCB392942:QCB393148 QLX392942:QLX393148 QVT392942:QVT393148 RFP392942:RFP393148 RPL392942:RPL393148 RZH392942:RZH393148 SJD392942:SJD393148 SSZ392942:SSZ393148 TCV392942:TCV393148 TMR392942:TMR393148 TWN392942:TWN393148 UGJ392942:UGJ393148 UQF392942:UQF393148 VAB392942:VAB393148 VJX392942:VJX393148 VTT392942:VTT393148 WDP392942:WDP393148 WNL392942:WNL393148 WXH392942:WXH393148 KV458478:KV458684 UR458478:UR458684 AEN458478:AEN458684 AOJ458478:AOJ458684 AYF458478:AYF458684 BIB458478:BIB458684 BRX458478:BRX458684 CBT458478:CBT458684 CLP458478:CLP458684 CVL458478:CVL458684 DFH458478:DFH458684 DPD458478:DPD458684 DYZ458478:DYZ458684 EIV458478:EIV458684 ESR458478:ESR458684 FCN458478:FCN458684 FMJ458478:FMJ458684 FWF458478:FWF458684 GGB458478:GGB458684 GPX458478:GPX458684 GZT458478:GZT458684 HJP458478:HJP458684 HTL458478:HTL458684 IDH458478:IDH458684 IND458478:IND458684 IWZ458478:IWZ458684 JGV458478:JGV458684 JQR458478:JQR458684 KAN458478:KAN458684 KKJ458478:KKJ458684 KUF458478:KUF458684 LEB458478:LEB458684 LNX458478:LNX458684 LXT458478:LXT458684 MHP458478:MHP458684 MRL458478:MRL458684 NBH458478:NBH458684 NLD458478:NLD458684 NUZ458478:NUZ458684 OEV458478:OEV458684 OOR458478:OOR458684 OYN458478:OYN458684 PIJ458478:PIJ458684 PSF458478:PSF458684 QCB458478:QCB458684 QLX458478:QLX458684 QVT458478:QVT458684 RFP458478:RFP458684 RPL458478:RPL458684 RZH458478:RZH458684 SJD458478:SJD458684 SSZ458478:SSZ458684 TCV458478:TCV458684 TMR458478:TMR458684 TWN458478:TWN458684 UGJ458478:UGJ458684 UQF458478:UQF458684 VAB458478:VAB458684 VJX458478:VJX458684 VTT458478:VTT458684 WDP458478:WDP458684 WNL458478:WNL458684 WXH458478:WXH458684 KV524014:KV524220 UR524014:UR524220 AEN524014:AEN524220 AOJ524014:AOJ524220 AYF524014:AYF524220 BIB524014:BIB524220 BRX524014:BRX524220 CBT524014:CBT524220 CLP524014:CLP524220 CVL524014:CVL524220 DFH524014:DFH524220 DPD524014:DPD524220 DYZ524014:DYZ524220 EIV524014:EIV524220 ESR524014:ESR524220 FCN524014:FCN524220 FMJ524014:FMJ524220 FWF524014:FWF524220 GGB524014:GGB524220 GPX524014:GPX524220 GZT524014:GZT524220 HJP524014:HJP524220 HTL524014:HTL524220 IDH524014:IDH524220 IND524014:IND524220 IWZ524014:IWZ524220 JGV524014:JGV524220 JQR524014:JQR524220 KAN524014:KAN524220 KKJ524014:KKJ524220 KUF524014:KUF524220 LEB524014:LEB524220 LNX524014:LNX524220 LXT524014:LXT524220 MHP524014:MHP524220 MRL524014:MRL524220 NBH524014:NBH524220 NLD524014:NLD524220 NUZ524014:NUZ524220 OEV524014:OEV524220 OOR524014:OOR524220 OYN524014:OYN524220 PIJ524014:PIJ524220 PSF524014:PSF524220 QCB524014:QCB524220 QLX524014:QLX524220 QVT524014:QVT524220 RFP524014:RFP524220 RPL524014:RPL524220 RZH524014:RZH524220 SJD524014:SJD524220 SSZ524014:SSZ524220 TCV524014:TCV524220 TMR524014:TMR524220 TWN524014:TWN524220 UGJ524014:UGJ524220 UQF524014:UQF524220 VAB524014:VAB524220 VJX524014:VJX524220 VTT524014:VTT524220 WDP524014:WDP524220 WNL524014:WNL524220 WXH524014:WXH524220 KV589550:KV589756 UR589550:UR589756 AEN589550:AEN589756 AOJ589550:AOJ589756 AYF589550:AYF589756 BIB589550:BIB589756 BRX589550:BRX589756 CBT589550:CBT589756 CLP589550:CLP589756 CVL589550:CVL589756 DFH589550:DFH589756 DPD589550:DPD589756 DYZ589550:DYZ589756 EIV589550:EIV589756 ESR589550:ESR589756 FCN589550:FCN589756 FMJ589550:FMJ589756 FWF589550:FWF589756 GGB589550:GGB589756 GPX589550:GPX589756 GZT589550:GZT589756 HJP589550:HJP589756 HTL589550:HTL589756 IDH589550:IDH589756 IND589550:IND589756 IWZ589550:IWZ589756 JGV589550:JGV589756 JQR589550:JQR589756 KAN589550:KAN589756 KKJ589550:KKJ589756 KUF589550:KUF589756 LEB589550:LEB589756 LNX589550:LNX589756 LXT589550:LXT589756 MHP589550:MHP589756 MRL589550:MRL589756 NBH589550:NBH589756 NLD589550:NLD589756 NUZ589550:NUZ589756 OEV589550:OEV589756 OOR589550:OOR589756 OYN589550:OYN589756 PIJ589550:PIJ589756 PSF589550:PSF589756 QCB589550:QCB589756 QLX589550:QLX589756 QVT589550:QVT589756 RFP589550:RFP589756 RPL589550:RPL589756 RZH589550:RZH589756 SJD589550:SJD589756 SSZ589550:SSZ589756 TCV589550:TCV589756 TMR589550:TMR589756 TWN589550:TWN589756 UGJ589550:UGJ589756 UQF589550:UQF589756 VAB589550:VAB589756 VJX589550:VJX589756 VTT589550:VTT589756 WDP589550:WDP589756 WNL589550:WNL589756 WXH589550:WXH589756 KV655086:KV655292 UR655086:UR655292 AEN655086:AEN655292 AOJ655086:AOJ655292 AYF655086:AYF655292 BIB655086:BIB655292 BRX655086:BRX655292 CBT655086:CBT655292 CLP655086:CLP655292 CVL655086:CVL655292 DFH655086:DFH655292 DPD655086:DPD655292 DYZ655086:DYZ655292 EIV655086:EIV655292 ESR655086:ESR655292 FCN655086:FCN655292 FMJ655086:FMJ655292 FWF655086:FWF655292 GGB655086:GGB655292 GPX655086:GPX655292 GZT655086:GZT655292 HJP655086:HJP655292 HTL655086:HTL655292 IDH655086:IDH655292 IND655086:IND655292 IWZ655086:IWZ655292 JGV655086:JGV655292 JQR655086:JQR655292 KAN655086:KAN655292 KKJ655086:KKJ655292 KUF655086:KUF655292 LEB655086:LEB655292 LNX655086:LNX655292 LXT655086:LXT655292 MHP655086:MHP655292 MRL655086:MRL655292 NBH655086:NBH655292 NLD655086:NLD655292 NUZ655086:NUZ655292 OEV655086:OEV655292 OOR655086:OOR655292 OYN655086:OYN655292 PIJ655086:PIJ655292 PSF655086:PSF655292 QCB655086:QCB655292 QLX655086:QLX655292 QVT655086:QVT655292 RFP655086:RFP655292 RPL655086:RPL655292 RZH655086:RZH655292 SJD655086:SJD655292 SSZ655086:SSZ655292 TCV655086:TCV655292 TMR655086:TMR655292 TWN655086:TWN655292 UGJ655086:UGJ655292 UQF655086:UQF655292 VAB655086:VAB655292 VJX655086:VJX655292 VTT655086:VTT655292 WDP655086:WDP655292 WNL655086:WNL655292 WXH655086:WXH655292 KV720622:KV720828 UR720622:UR720828 AEN720622:AEN720828 AOJ720622:AOJ720828 AYF720622:AYF720828 BIB720622:BIB720828 BRX720622:BRX720828 CBT720622:CBT720828 CLP720622:CLP720828 CVL720622:CVL720828 DFH720622:DFH720828 DPD720622:DPD720828 DYZ720622:DYZ720828 EIV720622:EIV720828 ESR720622:ESR720828 FCN720622:FCN720828 FMJ720622:FMJ720828 FWF720622:FWF720828 GGB720622:GGB720828 GPX720622:GPX720828 GZT720622:GZT720828 HJP720622:HJP720828 HTL720622:HTL720828 IDH720622:IDH720828 IND720622:IND720828 IWZ720622:IWZ720828 JGV720622:JGV720828 JQR720622:JQR720828 KAN720622:KAN720828 KKJ720622:KKJ720828 KUF720622:KUF720828 LEB720622:LEB720828 LNX720622:LNX720828 LXT720622:LXT720828 MHP720622:MHP720828 MRL720622:MRL720828 NBH720622:NBH720828 NLD720622:NLD720828 NUZ720622:NUZ720828 OEV720622:OEV720828 OOR720622:OOR720828 OYN720622:OYN720828 PIJ720622:PIJ720828 PSF720622:PSF720828 QCB720622:QCB720828 QLX720622:QLX720828 QVT720622:QVT720828 RFP720622:RFP720828 RPL720622:RPL720828 RZH720622:RZH720828 SJD720622:SJD720828 SSZ720622:SSZ720828 TCV720622:TCV720828 TMR720622:TMR720828 TWN720622:TWN720828 UGJ720622:UGJ720828 UQF720622:UQF720828 VAB720622:VAB720828 VJX720622:VJX720828 VTT720622:VTT720828 WDP720622:WDP720828 WNL720622:WNL720828 WXH720622:WXH720828 KV786158:KV786364 UR786158:UR786364 AEN786158:AEN786364 AOJ786158:AOJ786364 AYF786158:AYF786364 BIB786158:BIB786364 BRX786158:BRX786364 CBT786158:CBT786364 CLP786158:CLP786364 CVL786158:CVL786364 DFH786158:DFH786364 DPD786158:DPD786364 DYZ786158:DYZ786364 EIV786158:EIV786364 ESR786158:ESR786364 FCN786158:FCN786364 FMJ786158:FMJ786364 FWF786158:FWF786364 GGB786158:GGB786364 GPX786158:GPX786364 GZT786158:GZT786364 HJP786158:HJP786364 HTL786158:HTL786364 IDH786158:IDH786364 IND786158:IND786364 IWZ786158:IWZ786364 JGV786158:JGV786364 JQR786158:JQR786364 KAN786158:KAN786364 KKJ786158:KKJ786364 KUF786158:KUF786364 LEB786158:LEB786364 LNX786158:LNX786364 LXT786158:LXT786364 MHP786158:MHP786364 MRL786158:MRL786364 NBH786158:NBH786364 NLD786158:NLD786364 NUZ786158:NUZ786364 OEV786158:OEV786364 OOR786158:OOR786364 OYN786158:OYN786364 PIJ786158:PIJ786364 PSF786158:PSF786364 QCB786158:QCB786364 QLX786158:QLX786364 QVT786158:QVT786364 RFP786158:RFP786364 RPL786158:RPL786364 RZH786158:RZH786364 SJD786158:SJD786364 SSZ786158:SSZ786364 TCV786158:TCV786364 TMR786158:TMR786364 TWN786158:TWN786364 UGJ786158:UGJ786364 UQF786158:UQF786364 VAB786158:VAB786364 VJX786158:VJX786364 VTT786158:VTT786364 WDP786158:WDP786364 WNL786158:WNL786364 WXH786158:WXH786364 KV851694:KV851900 UR851694:UR851900 AEN851694:AEN851900 AOJ851694:AOJ851900 AYF851694:AYF851900 BIB851694:BIB851900 BRX851694:BRX851900 CBT851694:CBT851900 CLP851694:CLP851900 CVL851694:CVL851900 DFH851694:DFH851900 DPD851694:DPD851900 DYZ851694:DYZ851900 EIV851694:EIV851900 ESR851694:ESR851900 FCN851694:FCN851900 FMJ851694:FMJ851900 FWF851694:FWF851900 GGB851694:GGB851900 GPX851694:GPX851900 GZT851694:GZT851900 HJP851694:HJP851900 HTL851694:HTL851900 IDH851694:IDH851900 IND851694:IND851900 IWZ851694:IWZ851900 JGV851694:JGV851900 JQR851694:JQR851900 KAN851694:KAN851900 KKJ851694:KKJ851900 KUF851694:KUF851900 LEB851694:LEB851900 LNX851694:LNX851900 LXT851694:LXT851900 MHP851694:MHP851900 MRL851694:MRL851900 NBH851694:NBH851900 NLD851694:NLD851900 NUZ851694:NUZ851900 OEV851694:OEV851900 OOR851694:OOR851900 OYN851694:OYN851900 PIJ851694:PIJ851900 PSF851694:PSF851900 QCB851694:QCB851900 QLX851694:QLX851900 QVT851694:QVT851900 RFP851694:RFP851900 RPL851694:RPL851900 RZH851694:RZH851900 SJD851694:SJD851900 SSZ851694:SSZ851900 TCV851694:TCV851900 TMR851694:TMR851900 TWN851694:TWN851900 UGJ851694:UGJ851900 UQF851694:UQF851900 VAB851694:VAB851900 VJX851694:VJX851900 VTT851694:VTT851900 WDP851694:WDP851900 WNL851694:WNL851900 WXH851694:WXH851900 KV917230:KV917436 UR917230:UR917436 AEN917230:AEN917436 AOJ917230:AOJ917436 AYF917230:AYF917436 BIB917230:BIB917436 BRX917230:BRX917436 CBT917230:CBT917436 CLP917230:CLP917436 CVL917230:CVL917436 DFH917230:DFH917436 DPD917230:DPD917436 DYZ917230:DYZ917436 EIV917230:EIV917436 ESR917230:ESR917436 FCN917230:FCN917436 FMJ917230:FMJ917436 FWF917230:FWF917436 GGB917230:GGB917436 GPX917230:GPX917436 GZT917230:GZT917436 HJP917230:HJP917436 HTL917230:HTL917436 IDH917230:IDH917436 IND917230:IND917436 IWZ917230:IWZ917436 JGV917230:JGV917436 JQR917230:JQR917436 KAN917230:KAN917436 KKJ917230:KKJ917436 KUF917230:KUF917436 LEB917230:LEB917436 LNX917230:LNX917436 LXT917230:LXT917436 MHP917230:MHP917436 MRL917230:MRL917436 NBH917230:NBH917436 NLD917230:NLD917436 NUZ917230:NUZ917436 OEV917230:OEV917436 OOR917230:OOR917436 OYN917230:OYN917436 PIJ917230:PIJ917436 PSF917230:PSF917436 QCB917230:QCB917436 QLX917230:QLX917436 QVT917230:QVT917436 RFP917230:RFP917436 RPL917230:RPL917436 RZH917230:RZH917436 SJD917230:SJD917436 SSZ917230:SSZ917436 TCV917230:TCV917436 TMR917230:TMR917436 TWN917230:TWN917436 UGJ917230:UGJ917436 UQF917230:UQF917436 VAB917230:VAB917436 VJX917230:VJX917436 VTT917230:VTT917436 WDP917230:WDP917436 WNL917230:WNL917436 WXH917230:WXH917436 KV982766:KV982972 UR982766:UR982972 AEN982766:AEN982972 AOJ982766:AOJ982972 AYF982766:AYF982972 BIB982766:BIB982972 BRX982766:BRX982972 CBT982766:CBT982972 CLP982766:CLP982972 CVL982766:CVL982972 DFH982766:DFH982972 DPD982766:DPD982972 DYZ982766:DYZ982972 EIV982766:EIV982972 ESR982766:ESR982972 FCN982766:FCN982972 FMJ982766:FMJ982972 FWF982766:FWF982972 GGB982766:GGB982972 GPX982766:GPX982972 GZT982766:GZT982972 HJP982766:HJP982972 HTL982766:HTL982972 IDH982766:IDH982972 IND982766:IND982972 IWZ982766:IWZ982972 JGV982766:JGV982972 JQR982766:JQR982972 KAN982766:KAN982972 KKJ982766:KKJ982972 KUF982766:KUF982972 LEB982766:LEB982972 LNX982766:LNX982972 LXT982766:LXT982972 MHP982766:MHP982972 MRL982766:MRL982972 NBH982766:NBH982972 NLD982766:NLD982972 NUZ982766:NUZ982972 OEV982766:OEV982972 OOR982766:OOR982972 OYN982766:OYN982972 PIJ982766:PIJ982972 PSF982766:PSF982972 QCB982766:QCB982972 QLX982766:QLX982972 QVT982766:QVT982972 RFP982766:RFP982972 RPL982766:RPL982972 RZH982766:RZH982972 SJD982766:SJD982972 SSZ982766:SSZ982972 TCV982766:TCV982972 TMR982766:TMR982972 TWN982766:TWN982972 UGJ982766:UGJ982972 UQF982766:UQF982972 VAB982766:VAB982972 VJX982766:VJX982972 VTT982766:VTT982972 WDP982766:WDP982972 WNL982766:WNL982972 WXH982766:WXH982972 CJ65262:CK65468 MC65262:MC65468 VY65262:VY65468 AFU65262:AFU65468 APQ65262:APQ65468 AZM65262:AZM65468 BJI65262:BJI65468 BTE65262:BTE65468 CDA65262:CDA65468 CMW65262:CMW65468 CWS65262:CWS65468 DGO65262:DGO65468 DQK65262:DQK65468 EAG65262:EAG65468 EKC65262:EKC65468 ETY65262:ETY65468 FDU65262:FDU65468 FNQ65262:FNQ65468 FXM65262:FXM65468 GHI65262:GHI65468 GRE65262:GRE65468 HBA65262:HBA65468 HKW65262:HKW65468 HUS65262:HUS65468 IEO65262:IEO65468 IOK65262:IOK65468 IYG65262:IYG65468 JIC65262:JIC65468 JRY65262:JRY65468 KBU65262:KBU65468 KLQ65262:KLQ65468 KVM65262:KVM65468 LFI65262:LFI65468 LPE65262:LPE65468 LZA65262:LZA65468 MIW65262:MIW65468 MSS65262:MSS65468 NCO65262:NCO65468 NMK65262:NMK65468 NWG65262:NWG65468 OGC65262:OGC65468 OPY65262:OPY65468 OZU65262:OZU65468 PJQ65262:PJQ65468 PTM65262:PTM65468 QDI65262:QDI65468 QNE65262:QNE65468 QXA65262:QXA65468 RGW65262:RGW65468 RQS65262:RQS65468 SAO65262:SAO65468 SKK65262:SKK65468 SUG65262:SUG65468 TEC65262:TEC65468 TNY65262:TNY65468 TXU65262:TXU65468 UHQ65262:UHQ65468 URM65262:URM65468 VBI65262:VBI65468 VLE65262:VLE65468 VVA65262:VVA65468 WEW65262:WEW65468 WOS65262:WOS65468 WYO65262:WYO65468 CJ130798:CK131004 MC130798:MC131004 VY130798:VY131004 AFU130798:AFU131004 APQ130798:APQ131004 AZM130798:AZM131004 BJI130798:BJI131004 BTE130798:BTE131004 CDA130798:CDA131004 CMW130798:CMW131004 CWS130798:CWS131004 DGO130798:DGO131004 DQK130798:DQK131004 EAG130798:EAG131004 EKC130798:EKC131004 ETY130798:ETY131004 FDU130798:FDU131004 FNQ130798:FNQ131004 FXM130798:FXM131004 GHI130798:GHI131004 GRE130798:GRE131004 HBA130798:HBA131004 HKW130798:HKW131004 HUS130798:HUS131004 IEO130798:IEO131004 IOK130798:IOK131004 IYG130798:IYG131004 JIC130798:JIC131004 JRY130798:JRY131004 KBU130798:KBU131004 KLQ130798:KLQ131004 KVM130798:KVM131004 LFI130798:LFI131004 LPE130798:LPE131004 LZA130798:LZA131004 MIW130798:MIW131004 MSS130798:MSS131004 NCO130798:NCO131004 NMK130798:NMK131004 NWG130798:NWG131004 OGC130798:OGC131004 OPY130798:OPY131004 OZU130798:OZU131004 PJQ130798:PJQ131004 PTM130798:PTM131004 QDI130798:QDI131004 QNE130798:QNE131004 QXA130798:QXA131004 RGW130798:RGW131004 RQS130798:RQS131004 SAO130798:SAO131004 SKK130798:SKK131004 SUG130798:SUG131004 TEC130798:TEC131004 TNY130798:TNY131004 TXU130798:TXU131004 UHQ130798:UHQ131004 URM130798:URM131004 VBI130798:VBI131004 VLE130798:VLE131004 VVA130798:VVA131004 WEW130798:WEW131004 WOS130798:WOS131004 WYO130798:WYO131004 CJ196334:CK196540 MC196334:MC196540 VY196334:VY196540 AFU196334:AFU196540 APQ196334:APQ196540 AZM196334:AZM196540 BJI196334:BJI196540 BTE196334:BTE196540 CDA196334:CDA196540 CMW196334:CMW196540 CWS196334:CWS196540 DGO196334:DGO196540 DQK196334:DQK196540 EAG196334:EAG196540 EKC196334:EKC196540 ETY196334:ETY196540 FDU196334:FDU196540 FNQ196334:FNQ196540 FXM196334:FXM196540 GHI196334:GHI196540 GRE196334:GRE196540 HBA196334:HBA196540 HKW196334:HKW196540 HUS196334:HUS196540 IEO196334:IEO196540 IOK196334:IOK196540 IYG196334:IYG196540 JIC196334:JIC196540 JRY196334:JRY196540 KBU196334:KBU196540 KLQ196334:KLQ196540 KVM196334:KVM196540 LFI196334:LFI196540 LPE196334:LPE196540 LZA196334:LZA196540 MIW196334:MIW196540 MSS196334:MSS196540 NCO196334:NCO196540 NMK196334:NMK196540 NWG196334:NWG196540 OGC196334:OGC196540 OPY196334:OPY196540 OZU196334:OZU196540 PJQ196334:PJQ196540 PTM196334:PTM196540 QDI196334:QDI196540 QNE196334:QNE196540 QXA196334:QXA196540 RGW196334:RGW196540 RQS196334:RQS196540 SAO196334:SAO196540 SKK196334:SKK196540 SUG196334:SUG196540 TEC196334:TEC196540 TNY196334:TNY196540 TXU196334:TXU196540 UHQ196334:UHQ196540 URM196334:URM196540 VBI196334:VBI196540 VLE196334:VLE196540 VVA196334:VVA196540 WEW196334:WEW196540 WOS196334:WOS196540 WYO196334:WYO196540 CJ261870:CK262076 MC261870:MC262076 VY261870:VY262076 AFU261870:AFU262076 APQ261870:APQ262076 AZM261870:AZM262076 BJI261870:BJI262076 BTE261870:BTE262076 CDA261870:CDA262076 CMW261870:CMW262076 CWS261870:CWS262076 DGO261870:DGO262076 DQK261870:DQK262076 EAG261870:EAG262076 EKC261870:EKC262076 ETY261870:ETY262076 FDU261870:FDU262076 FNQ261870:FNQ262076 FXM261870:FXM262076 GHI261870:GHI262076 GRE261870:GRE262076 HBA261870:HBA262076 HKW261870:HKW262076 HUS261870:HUS262076 IEO261870:IEO262076 IOK261870:IOK262076 IYG261870:IYG262076 JIC261870:JIC262076 JRY261870:JRY262076 KBU261870:KBU262076 KLQ261870:KLQ262076 KVM261870:KVM262076 LFI261870:LFI262076 LPE261870:LPE262076 LZA261870:LZA262076 MIW261870:MIW262076 MSS261870:MSS262076 NCO261870:NCO262076 NMK261870:NMK262076 NWG261870:NWG262076 OGC261870:OGC262076 OPY261870:OPY262076 OZU261870:OZU262076 PJQ261870:PJQ262076 PTM261870:PTM262076 QDI261870:QDI262076 QNE261870:QNE262076 QXA261870:QXA262076 RGW261870:RGW262076 RQS261870:RQS262076 SAO261870:SAO262076 SKK261870:SKK262076 SUG261870:SUG262076 TEC261870:TEC262076 TNY261870:TNY262076 TXU261870:TXU262076 UHQ261870:UHQ262076 URM261870:URM262076 VBI261870:VBI262076 VLE261870:VLE262076 VVA261870:VVA262076 WEW261870:WEW262076 WOS261870:WOS262076 WYO261870:WYO262076 CJ327406:CK327612 MC327406:MC327612 VY327406:VY327612 AFU327406:AFU327612 APQ327406:APQ327612 AZM327406:AZM327612 BJI327406:BJI327612 BTE327406:BTE327612 CDA327406:CDA327612 CMW327406:CMW327612 CWS327406:CWS327612 DGO327406:DGO327612 DQK327406:DQK327612 EAG327406:EAG327612 EKC327406:EKC327612 ETY327406:ETY327612 FDU327406:FDU327612 FNQ327406:FNQ327612 FXM327406:FXM327612 GHI327406:GHI327612 GRE327406:GRE327612 HBA327406:HBA327612 HKW327406:HKW327612 HUS327406:HUS327612 IEO327406:IEO327612 IOK327406:IOK327612 IYG327406:IYG327612 JIC327406:JIC327612 JRY327406:JRY327612 KBU327406:KBU327612 KLQ327406:KLQ327612 KVM327406:KVM327612 LFI327406:LFI327612 LPE327406:LPE327612 LZA327406:LZA327612 MIW327406:MIW327612 MSS327406:MSS327612 NCO327406:NCO327612 NMK327406:NMK327612 NWG327406:NWG327612 OGC327406:OGC327612 OPY327406:OPY327612 OZU327406:OZU327612 PJQ327406:PJQ327612 PTM327406:PTM327612 QDI327406:QDI327612 QNE327406:QNE327612 QXA327406:QXA327612 RGW327406:RGW327612 RQS327406:RQS327612 SAO327406:SAO327612 SKK327406:SKK327612 SUG327406:SUG327612 TEC327406:TEC327612 TNY327406:TNY327612 TXU327406:TXU327612 UHQ327406:UHQ327612 URM327406:URM327612 VBI327406:VBI327612 VLE327406:VLE327612 VVA327406:VVA327612 WEW327406:WEW327612 WOS327406:WOS327612 WYO327406:WYO327612 CJ392942:CK393148 MC392942:MC393148 VY392942:VY393148 AFU392942:AFU393148 APQ392942:APQ393148 AZM392942:AZM393148 BJI392942:BJI393148 BTE392942:BTE393148 CDA392942:CDA393148 CMW392942:CMW393148 CWS392942:CWS393148 DGO392942:DGO393148 DQK392942:DQK393148 EAG392942:EAG393148 EKC392942:EKC393148 ETY392942:ETY393148 FDU392942:FDU393148 FNQ392942:FNQ393148 FXM392942:FXM393148 GHI392942:GHI393148 GRE392942:GRE393148 HBA392942:HBA393148 HKW392942:HKW393148 HUS392942:HUS393148 IEO392942:IEO393148 IOK392942:IOK393148 IYG392942:IYG393148 JIC392942:JIC393148 JRY392942:JRY393148 KBU392942:KBU393148 KLQ392942:KLQ393148 KVM392942:KVM393148 LFI392942:LFI393148 LPE392942:LPE393148 LZA392942:LZA393148 MIW392942:MIW393148 MSS392942:MSS393148 NCO392942:NCO393148 NMK392942:NMK393148 NWG392942:NWG393148 OGC392942:OGC393148 OPY392942:OPY393148 OZU392942:OZU393148 PJQ392942:PJQ393148 PTM392942:PTM393148 QDI392942:QDI393148 QNE392942:QNE393148 QXA392942:QXA393148 RGW392942:RGW393148 RQS392942:RQS393148 SAO392942:SAO393148 SKK392942:SKK393148 SUG392942:SUG393148 TEC392942:TEC393148 TNY392942:TNY393148 TXU392942:TXU393148 UHQ392942:UHQ393148 URM392942:URM393148 VBI392942:VBI393148 VLE392942:VLE393148 VVA392942:VVA393148 WEW392942:WEW393148 WOS392942:WOS393148 WYO392942:WYO393148 CJ458478:CK458684 MC458478:MC458684 VY458478:VY458684 AFU458478:AFU458684 APQ458478:APQ458684 AZM458478:AZM458684 BJI458478:BJI458684 BTE458478:BTE458684 CDA458478:CDA458684 CMW458478:CMW458684 CWS458478:CWS458684 DGO458478:DGO458684 DQK458478:DQK458684 EAG458478:EAG458684 EKC458478:EKC458684 ETY458478:ETY458684 FDU458478:FDU458684 FNQ458478:FNQ458684 FXM458478:FXM458684 GHI458478:GHI458684 GRE458478:GRE458684 HBA458478:HBA458684 HKW458478:HKW458684 HUS458478:HUS458684 IEO458478:IEO458684 IOK458478:IOK458684 IYG458478:IYG458684 JIC458478:JIC458684 JRY458478:JRY458684 KBU458478:KBU458684 KLQ458478:KLQ458684 KVM458478:KVM458684 LFI458478:LFI458684 LPE458478:LPE458684 LZA458478:LZA458684 MIW458478:MIW458684 MSS458478:MSS458684 NCO458478:NCO458684 NMK458478:NMK458684 NWG458478:NWG458684 OGC458478:OGC458684 OPY458478:OPY458684 OZU458478:OZU458684 PJQ458478:PJQ458684 PTM458478:PTM458684 QDI458478:QDI458684 QNE458478:QNE458684 QXA458478:QXA458684 RGW458478:RGW458684 RQS458478:RQS458684 SAO458478:SAO458684 SKK458478:SKK458684 SUG458478:SUG458684 TEC458478:TEC458684 TNY458478:TNY458684 TXU458478:TXU458684 UHQ458478:UHQ458684 URM458478:URM458684 VBI458478:VBI458684 VLE458478:VLE458684 VVA458478:VVA458684 WEW458478:WEW458684 WOS458478:WOS458684 WYO458478:WYO458684 CJ524014:CK524220 MC524014:MC524220 VY524014:VY524220 AFU524014:AFU524220 APQ524014:APQ524220 AZM524014:AZM524220 BJI524014:BJI524220 BTE524014:BTE524220 CDA524014:CDA524220 CMW524014:CMW524220 CWS524014:CWS524220 DGO524014:DGO524220 DQK524014:DQK524220 EAG524014:EAG524220 EKC524014:EKC524220 ETY524014:ETY524220 FDU524014:FDU524220 FNQ524014:FNQ524220 FXM524014:FXM524220 GHI524014:GHI524220 GRE524014:GRE524220 HBA524014:HBA524220 HKW524014:HKW524220 HUS524014:HUS524220 IEO524014:IEO524220 IOK524014:IOK524220 IYG524014:IYG524220 JIC524014:JIC524220 JRY524014:JRY524220 KBU524014:KBU524220 KLQ524014:KLQ524220 KVM524014:KVM524220 LFI524014:LFI524220 LPE524014:LPE524220 LZA524014:LZA524220 MIW524014:MIW524220 MSS524014:MSS524220 NCO524014:NCO524220 NMK524014:NMK524220 NWG524014:NWG524220 OGC524014:OGC524220 OPY524014:OPY524220 OZU524014:OZU524220 PJQ524014:PJQ524220 PTM524014:PTM524220 QDI524014:QDI524220 QNE524014:QNE524220 QXA524014:QXA524220 RGW524014:RGW524220 RQS524014:RQS524220 SAO524014:SAO524220 SKK524014:SKK524220 SUG524014:SUG524220 TEC524014:TEC524220 TNY524014:TNY524220 TXU524014:TXU524220 UHQ524014:UHQ524220 URM524014:URM524220 VBI524014:VBI524220 VLE524014:VLE524220 VVA524014:VVA524220 WEW524014:WEW524220 WOS524014:WOS524220 WYO524014:WYO524220 CJ589550:CK589756 MC589550:MC589756 VY589550:VY589756 AFU589550:AFU589756 APQ589550:APQ589756 AZM589550:AZM589756 BJI589550:BJI589756 BTE589550:BTE589756 CDA589550:CDA589756 CMW589550:CMW589756 CWS589550:CWS589756 DGO589550:DGO589756 DQK589550:DQK589756 EAG589550:EAG589756 EKC589550:EKC589756 ETY589550:ETY589756 FDU589550:FDU589756 FNQ589550:FNQ589756 FXM589550:FXM589756 GHI589550:GHI589756 GRE589550:GRE589756 HBA589550:HBA589756 HKW589550:HKW589756 HUS589550:HUS589756 IEO589550:IEO589756 IOK589550:IOK589756 IYG589550:IYG589756 JIC589550:JIC589756 JRY589550:JRY589756 KBU589550:KBU589756 KLQ589550:KLQ589756 KVM589550:KVM589756 LFI589550:LFI589756 LPE589550:LPE589756 LZA589550:LZA589756 MIW589550:MIW589756 MSS589550:MSS589756 NCO589550:NCO589756 NMK589550:NMK589756 NWG589550:NWG589756 OGC589550:OGC589756 OPY589550:OPY589756 OZU589550:OZU589756 PJQ589550:PJQ589756 PTM589550:PTM589756 QDI589550:QDI589756 QNE589550:QNE589756 QXA589550:QXA589756 RGW589550:RGW589756 RQS589550:RQS589756 SAO589550:SAO589756 SKK589550:SKK589756 SUG589550:SUG589756 TEC589550:TEC589756 TNY589550:TNY589756 TXU589550:TXU589756 UHQ589550:UHQ589756 URM589550:URM589756 VBI589550:VBI589756 VLE589550:VLE589756 VVA589550:VVA589756 WEW589550:WEW589756 WOS589550:WOS589756 WYO589550:WYO589756 CJ655086:CK655292 MC655086:MC655292 VY655086:VY655292 AFU655086:AFU655292 APQ655086:APQ655292 AZM655086:AZM655292 BJI655086:BJI655292 BTE655086:BTE655292 CDA655086:CDA655292 CMW655086:CMW655292 CWS655086:CWS655292 DGO655086:DGO655292 DQK655086:DQK655292 EAG655086:EAG655292 EKC655086:EKC655292 ETY655086:ETY655292 FDU655086:FDU655292 FNQ655086:FNQ655292 FXM655086:FXM655292 GHI655086:GHI655292 GRE655086:GRE655292 HBA655086:HBA655292 HKW655086:HKW655292 HUS655086:HUS655292 IEO655086:IEO655292 IOK655086:IOK655292 IYG655086:IYG655292 JIC655086:JIC655292 JRY655086:JRY655292 KBU655086:KBU655292 KLQ655086:KLQ655292 KVM655086:KVM655292 LFI655086:LFI655292 LPE655086:LPE655292 LZA655086:LZA655292 MIW655086:MIW655292 MSS655086:MSS655292 NCO655086:NCO655292 NMK655086:NMK655292 NWG655086:NWG655292 OGC655086:OGC655292 OPY655086:OPY655292 OZU655086:OZU655292 PJQ655086:PJQ655292 PTM655086:PTM655292 QDI655086:QDI655292 QNE655086:QNE655292 QXA655086:QXA655292 RGW655086:RGW655292 RQS655086:RQS655292 SAO655086:SAO655292 SKK655086:SKK655292 SUG655086:SUG655292 TEC655086:TEC655292 TNY655086:TNY655292 TXU655086:TXU655292 UHQ655086:UHQ655292 URM655086:URM655292 VBI655086:VBI655292 VLE655086:VLE655292 VVA655086:VVA655292 WEW655086:WEW655292 WOS655086:WOS655292 WYO655086:WYO655292 CJ720622:CK720828 MC720622:MC720828 VY720622:VY720828 AFU720622:AFU720828 APQ720622:APQ720828 AZM720622:AZM720828 BJI720622:BJI720828 BTE720622:BTE720828 CDA720622:CDA720828 CMW720622:CMW720828 CWS720622:CWS720828 DGO720622:DGO720828 DQK720622:DQK720828 EAG720622:EAG720828 EKC720622:EKC720828 ETY720622:ETY720828 FDU720622:FDU720828 FNQ720622:FNQ720828 FXM720622:FXM720828 GHI720622:GHI720828 GRE720622:GRE720828 HBA720622:HBA720828 HKW720622:HKW720828 HUS720622:HUS720828 IEO720622:IEO720828 IOK720622:IOK720828 IYG720622:IYG720828 JIC720622:JIC720828 JRY720622:JRY720828 KBU720622:KBU720828 KLQ720622:KLQ720828 KVM720622:KVM720828 LFI720622:LFI720828 LPE720622:LPE720828 LZA720622:LZA720828 MIW720622:MIW720828 MSS720622:MSS720828 NCO720622:NCO720828 NMK720622:NMK720828 NWG720622:NWG720828 OGC720622:OGC720828 OPY720622:OPY720828 OZU720622:OZU720828 PJQ720622:PJQ720828 PTM720622:PTM720828 QDI720622:QDI720828 QNE720622:QNE720828 QXA720622:QXA720828 RGW720622:RGW720828 RQS720622:RQS720828 SAO720622:SAO720828 SKK720622:SKK720828 SUG720622:SUG720828 TEC720622:TEC720828 TNY720622:TNY720828 TXU720622:TXU720828 UHQ720622:UHQ720828 URM720622:URM720828 VBI720622:VBI720828 VLE720622:VLE720828 VVA720622:VVA720828 WEW720622:WEW720828 WOS720622:WOS720828 WYO720622:WYO720828 CJ786158:CK786364 MC786158:MC786364 VY786158:VY786364 AFU786158:AFU786364 APQ786158:APQ786364 AZM786158:AZM786364 BJI786158:BJI786364 BTE786158:BTE786364 CDA786158:CDA786364 CMW786158:CMW786364 CWS786158:CWS786364 DGO786158:DGO786364 DQK786158:DQK786364 EAG786158:EAG786364 EKC786158:EKC786364 ETY786158:ETY786364 FDU786158:FDU786364 FNQ786158:FNQ786364 FXM786158:FXM786364 GHI786158:GHI786364 GRE786158:GRE786364 HBA786158:HBA786364 HKW786158:HKW786364 HUS786158:HUS786364 IEO786158:IEO786364 IOK786158:IOK786364 IYG786158:IYG786364 JIC786158:JIC786364 JRY786158:JRY786364 KBU786158:KBU786364 KLQ786158:KLQ786364 KVM786158:KVM786364 LFI786158:LFI786364 LPE786158:LPE786364 LZA786158:LZA786364 MIW786158:MIW786364 MSS786158:MSS786364 NCO786158:NCO786364 NMK786158:NMK786364 NWG786158:NWG786364 OGC786158:OGC786364 OPY786158:OPY786364 OZU786158:OZU786364 PJQ786158:PJQ786364 PTM786158:PTM786364 QDI786158:QDI786364 QNE786158:QNE786364 QXA786158:QXA786364 RGW786158:RGW786364 RQS786158:RQS786364 SAO786158:SAO786364 SKK786158:SKK786364 SUG786158:SUG786364 TEC786158:TEC786364 TNY786158:TNY786364 TXU786158:TXU786364 UHQ786158:UHQ786364 URM786158:URM786364 VBI786158:VBI786364 VLE786158:VLE786364 VVA786158:VVA786364 WEW786158:WEW786364 WOS786158:WOS786364 WYO786158:WYO786364 CJ851694:CK851900 MC851694:MC851900 VY851694:VY851900 AFU851694:AFU851900 APQ851694:APQ851900 AZM851694:AZM851900 BJI851694:BJI851900 BTE851694:BTE851900 CDA851694:CDA851900 CMW851694:CMW851900 CWS851694:CWS851900 DGO851694:DGO851900 DQK851694:DQK851900 EAG851694:EAG851900 EKC851694:EKC851900 ETY851694:ETY851900 FDU851694:FDU851900 FNQ851694:FNQ851900 FXM851694:FXM851900 GHI851694:GHI851900 GRE851694:GRE851900 HBA851694:HBA851900 HKW851694:HKW851900 HUS851694:HUS851900 IEO851694:IEO851900 IOK851694:IOK851900 IYG851694:IYG851900 JIC851694:JIC851900 JRY851694:JRY851900 KBU851694:KBU851900 KLQ851694:KLQ851900 KVM851694:KVM851900 LFI851694:LFI851900 LPE851694:LPE851900 LZA851694:LZA851900 MIW851694:MIW851900 MSS851694:MSS851900 NCO851694:NCO851900 NMK851694:NMK851900 NWG851694:NWG851900 OGC851694:OGC851900 OPY851694:OPY851900 OZU851694:OZU851900 PJQ851694:PJQ851900 PTM851694:PTM851900 QDI851694:QDI851900 QNE851694:QNE851900 QXA851694:QXA851900 RGW851694:RGW851900 RQS851694:RQS851900 SAO851694:SAO851900 SKK851694:SKK851900 SUG851694:SUG851900 TEC851694:TEC851900 TNY851694:TNY851900 TXU851694:TXU851900 UHQ851694:UHQ851900 URM851694:URM851900 VBI851694:VBI851900 VLE851694:VLE851900 VVA851694:VVA851900 WEW851694:WEW851900 WOS851694:WOS851900 WYO851694:WYO851900 CJ917230:CK917436 MC917230:MC917436 VY917230:VY917436 AFU917230:AFU917436 APQ917230:APQ917436 AZM917230:AZM917436 BJI917230:BJI917436 BTE917230:BTE917436 CDA917230:CDA917436 CMW917230:CMW917436 CWS917230:CWS917436 DGO917230:DGO917436 DQK917230:DQK917436 EAG917230:EAG917436 EKC917230:EKC917436 ETY917230:ETY917436 FDU917230:FDU917436 FNQ917230:FNQ917436 FXM917230:FXM917436 GHI917230:GHI917436 GRE917230:GRE917436 HBA917230:HBA917436 HKW917230:HKW917436 HUS917230:HUS917436 IEO917230:IEO917436 IOK917230:IOK917436 IYG917230:IYG917436 JIC917230:JIC917436 JRY917230:JRY917436 KBU917230:KBU917436 KLQ917230:KLQ917436 KVM917230:KVM917436 LFI917230:LFI917436 LPE917230:LPE917436 LZA917230:LZA917436 MIW917230:MIW917436 MSS917230:MSS917436 NCO917230:NCO917436 NMK917230:NMK917436 NWG917230:NWG917436 OGC917230:OGC917436 OPY917230:OPY917436 OZU917230:OZU917436 PJQ917230:PJQ917436 PTM917230:PTM917436 QDI917230:QDI917436 QNE917230:QNE917436 QXA917230:QXA917436 RGW917230:RGW917436 RQS917230:RQS917436 SAO917230:SAO917436 SKK917230:SKK917436 SUG917230:SUG917436 TEC917230:TEC917436 TNY917230:TNY917436 TXU917230:TXU917436 UHQ917230:UHQ917436 URM917230:URM917436 VBI917230:VBI917436 VLE917230:VLE917436 VVA917230:VVA917436 WEW917230:WEW917436 WOS917230:WOS917436 WYO917230:WYO917436 CJ982766:CK982972 MC982766:MC982972 VY982766:VY982972 AFU982766:AFU982972 APQ982766:APQ982972 AZM982766:AZM982972 BJI982766:BJI982972 BTE982766:BTE982972 CDA982766:CDA982972 CMW982766:CMW982972 CWS982766:CWS982972 DGO982766:DGO982972 DQK982766:DQK982972 EAG982766:EAG982972 EKC982766:EKC982972 ETY982766:ETY982972 FDU982766:FDU982972 FNQ982766:FNQ982972 FXM982766:FXM982972 GHI982766:GHI982972 GRE982766:GRE982972 HBA982766:HBA982972 HKW982766:HKW982972 HUS982766:HUS982972 IEO982766:IEO982972 IOK982766:IOK982972 IYG982766:IYG982972 JIC982766:JIC982972 JRY982766:JRY982972 KBU982766:KBU982972 KLQ982766:KLQ982972 KVM982766:KVM982972 LFI982766:LFI982972 LPE982766:LPE982972 LZA982766:LZA982972 MIW982766:MIW982972 MSS982766:MSS982972 NCO982766:NCO982972 NMK982766:NMK982972 NWG982766:NWG982972 OGC982766:OGC982972 OPY982766:OPY982972 OZU982766:OZU982972 PJQ982766:PJQ982972 PTM982766:PTM982972 QDI982766:QDI982972 QNE982766:QNE982972 QXA982766:QXA982972 RGW982766:RGW982972 RQS982766:RQS982972 SAO982766:SAO982972 SKK982766:SKK982972 SUG982766:SUG982972 TEC982766:TEC982972 TNY982766:TNY982972 TXU982766:TXU982972 UHQ982766:UHQ982972 URM982766:URM982972 VBI982766:VBI982972 VLE982766:VLE982972 VVA982766:VVA982972 WEW982766:WEW982972 WOS982766:WOS982972 WYO982766:WYO982972 LI65262:LI65468 VE65262:VE65468 AFA65262:AFA65468 AOW65262:AOW65468 AYS65262:AYS65468 BIO65262:BIO65468 BSK65262:BSK65468 CCG65262:CCG65468 CMC65262:CMC65468 CVY65262:CVY65468 DFU65262:DFU65468 DPQ65262:DPQ65468 DZM65262:DZM65468 EJI65262:EJI65468 ETE65262:ETE65468 FDA65262:FDA65468 FMW65262:FMW65468 FWS65262:FWS65468 GGO65262:GGO65468 GQK65262:GQK65468 HAG65262:HAG65468 HKC65262:HKC65468 HTY65262:HTY65468 IDU65262:IDU65468 INQ65262:INQ65468 IXM65262:IXM65468 JHI65262:JHI65468 JRE65262:JRE65468 KBA65262:KBA65468 KKW65262:KKW65468 KUS65262:KUS65468 LEO65262:LEO65468 LOK65262:LOK65468 LYG65262:LYG65468 MIC65262:MIC65468 MRY65262:MRY65468 NBU65262:NBU65468 NLQ65262:NLQ65468 NVM65262:NVM65468 OFI65262:OFI65468 OPE65262:OPE65468 OZA65262:OZA65468 PIW65262:PIW65468 PSS65262:PSS65468 QCO65262:QCO65468 QMK65262:QMK65468 QWG65262:QWG65468 RGC65262:RGC65468 RPY65262:RPY65468 RZU65262:RZU65468 SJQ65262:SJQ65468 STM65262:STM65468 TDI65262:TDI65468 TNE65262:TNE65468 TXA65262:TXA65468 UGW65262:UGW65468 UQS65262:UQS65468 VAO65262:VAO65468 VKK65262:VKK65468 VUG65262:VUG65468 WEC65262:WEC65468 WNY65262:WNY65468 WXU65262:WXU65468 LI130798:LI131004 VE130798:VE131004 AFA130798:AFA131004 AOW130798:AOW131004 AYS130798:AYS131004 BIO130798:BIO131004 BSK130798:BSK131004 CCG130798:CCG131004 CMC130798:CMC131004 CVY130798:CVY131004 DFU130798:DFU131004 DPQ130798:DPQ131004 DZM130798:DZM131004 EJI130798:EJI131004 ETE130798:ETE131004 FDA130798:FDA131004 FMW130798:FMW131004 FWS130798:FWS131004 GGO130798:GGO131004 GQK130798:GQK131004 HAG130798:HAG131004 HKC130798:HKC131004 HTY130798:HTY131004 IDU130798:IDU131004 INQ130798:INQ131004 IXM130798:IXM131004 JHI130798:JHI131004 JRE130798:JRE131004 KBA130798:KBA131004 KKW130798:KKW131004 KUS130798:KUS131004 LEO130798:LEO131004 LOK130798:LOK131004 LYG130798:LYG131004 MIC130798:MIC131004 MRY130798:MRY131004 NBU130798:NBU131004 NLQ130798:NLQ131004 NVM130798:NVM131004 OFI130798:OFI131004 OPE130798:OPE131004 OZA130798:OZA131004 PIW130798:PIW131004 PSS130798:PSS131004 QCO130798:QCO131004 QMK130798:QMK131004 QWG130798:QWG131004 RGC130798:RGC131004 RPY130798:RPY131004 RZU130798:RZU131004 SJQ130798:SJQ131004 STM130798:STM131004 TDI130798:TDI131004 TNE130798:TNE131004 TXA130798:TXA131004 UGW130798:UGW131004 UQS130798:UQS131004 VAO130798:VAO131004 VKK130798:VKK131004 VUG130798:VUG131004 WEC130798:WEC131004 WNY130798:WNY131004 WXU130798:WXU131004 LI196334:LI196540 VE196334:VE196540 AFA196334:AFA196540 AOW196334:AOW196540 AYS196334:AYS196540 BIO196334:BIO196540 BSK196334:BSK196540 CCG196334:CCG196540 CMC196334:CMC196540 CVY196334:CVY196540 DFU196334:DFU196540 DPQ196334:DPQ196540 DZM196334:DZM196540 EJI196334:EJI196540 ETE196334:ETE196540 FDA196334:FDA196540 FMW196334:FMW196540 FWS196334:FWS196540 GGO196334:GGO196540 GQK196334:GQK196540 HAG196334:HAG196540 HKC196334:HKC196540 HTY196334:HTY196540 IDU196334:IDU196540 INQ196334:INQ196540 IXM196334:IXM196540 JHI196334:JHI196540 JRE196334:JRE196540 KBA196334:KBA196540 KKW196334:KKW196540 KUS196334:KUS196540 LEO196334:LEO196540 LOK196334:LOK196540 LYG196334:LYG196540 MIC196334:MIC196540 MRY196334:MRY196540 NBU196334:NBU196540 NLQ196334:NLQ196540 NVM196334:NVM196540 OFI196334:OFI196540 OPE196334:OPE196540 OZA196334:OZA196540 PIW196334:PIW196540 PSS196334:PSS196540 QCO196334:QCO196540 QMK196334:QMK196540 QWG196334:QWG196540 RGC196334:RGC196540 RPY196334:RPY196540 RZU196334:RZU196540 SJQ196334:SJQ196540 STM196334:STM196540 TDI196334:TDI196540 TNE196334:TNE196540 TXA196334:TXA196540 UGW196334:UGW196540 UQS196334:UQS196540 VAO196334:VAO196540 VKK196334:VKK196540 VUG196334:VUG196540 WEC196334:WEC196540 WNY196334:WNY196540 WXU196334:WXU196540 LI261870:LI262076 VE261870:VE262076 AFA261870:AFA262076 AOW261870:AOW262076 AYS261870:AYS262076 BIO261870:BIO262076 BSK261870:BSK262076 CCG261870:CCG262076 CMC261870:CMC262076 CVY261870:CVY262076 DFU261870:DFU262076 DPQ261870:DPQ262076 DZM261870:DZM262076 EJI261870:EJI262076 ETE261870:ETE262076 FDA261870:FDA262076 FMW261870:FMW262076 FWS261870:FWS262076 GGO261870:GGO262076 GQK261870:GQK262076 HAG261870:HAG262076 HKC261870:HKC262076 HTY261870:HTY262076 IDU261870:IDU262076 INQ261870:INQ262076 IXM261870:IXM262076 JHI261870:JHI262076 JRE261870:JRE262076 KBA261870:KBA262076 KKW261870:KKW262076 KUS261870:KUS262076 LEO261870:LEO262076 LOK261870:LOK262076 LYG261870:LYG262076 MIC261870:MIC262076 MRY261870:MRY262076 NBU261870:NBU262076 NLQ261870:NLQ262076 NVM261870:NVM262076 OFI261870:OFI262076 OPE261870:OPE262076 OZA261870:OZA262076 PIW261870:PIW262076 PSS261870:PSS262076 QCO261870:QCO262076 QMK261870:QMK262076 QWG261870:QWG262076 RGC261870:RGC262076 RPY261870:RPY262076 RZU261870:RZU262076 SJQ261870:SJQ262076 STM261870:STM262076 TDI261870:TDI262076 TNE261870:TNE262076 TXA261870:TXA262076 UGW261870:UGW262076 UQS261870:UQS262076 VAO261870:VAO262076 VKK261870:VKK262076 VUG261870:VUG262076 WEC261870:WEC262076 WNY261870:WNY262076 WXU261870:WXU262076 LI327406:LI327612 VE327406:VE327612 AFA327406:AFA327612 AOW327406:AOW327612 AYS327406:AYS327612 BIO327406:BIO327612 BSK327406:BSK327612 CCG327406:CCG327612 CMC327406:CMC327612 CVY327406:CVY327612 DFU327406:DFU327612 DPQ327406:DPQ327612 DZM327406:DZM327612 EJI327406:EJI327612 ETE327406:ETE327612 FDA327406:FDA327612 FMW327406:FMW327612 FWS327406:FWS327612 GGO327406:GGO327612 GQK327406:GQK327612 HAG327406:HAG327612 HKC327406:HKC327612 HTY327406:HTY327612 IDU327406:IDU327612 INQ327406:INQ327612 IXM327406:IXM327612 JHI327406:JHI327612 JRE327406:JRE327612 KBA327406:KBA327612 KKW327406:KKW327612 KUS327406:KUS327612 LEO327406:LEO327612 LOK327406:LOK327612 LYG327406:LYG327612 MIC327406:MIC327612 MRY327406:MRY327612 NBU327406:NBU327612 NLQ327406:NLQ327612 NVM327406:NVM327612 OFI327406:OFI327612 OPE327406:OPE327612 OZA327406:OZA327612 PIW327406:PIW327612 PSS327406:PSS327612 QCO327406:QCO327612 QMK327406:QMK327612 QWG327406:QWG327612 RGC327406:RGC327612 RPY327406:RPY327612 RZU327406:RZU327612 SJQ327406:SJQ327612 STM327406:STM327612 TDI327406:TDI327612 TNE327406:TNE327612 TXA327406:TXA327612 UGW327406:UGW327612 UQS327406:UQS327612 VAO327406:VAO327612 VKK327406:VKK327612 VUG327406:VUG327612 WEC327406:WEC327612 WNY327406:WNY327612 WXU327406:WXU327612 LI392942:LI393148 VE392942:VE393148 AFA392942:AFA393148 AOW392942:AOW393148 AYS392942:AYS393148 BIO392942:BIO393148 BSK392942:BSK393148 CCG392942:CCG393148 CMC392942:CMC393148 CVY392942:CVY393148 DFU392942:DFU393148 DPQ392942:DPQ393148 DZM392942:DZM393148 EJI392942:EJI393148 ETE392942:ETE393148 FDA392942:FDA393148 FMW392942:FMW393148 FWS392942:FWS393148 GGO392942:GGO393148 GQK392942:GQK393148 HAG392942:HAG393148 HKC392942:HKC393148 HTY392942:HTY393148 IDU392942:IDU393148 INQ392942:INQ393148 IXM392942:IXM393148 JHI392942:JHI393148 JRE392942:JRE393148 KBA392942:KBA393148 KKW392942:KKW393148 KUS392942:KUS393148 LEO392942:LEO393148 LOK392942:LOK393148 LYG392942:LYG393148 MIC392942:MIC393148 MRY392942:MRY393148 NBU392942:NBU393148 NLQ392942:NLQ393148 NVM392942:NVM393148 OFI392942:OFI393148 OPE392942:OPE393148 OZA392942:OZA393148 PIW392942:PIW393148 PSS392942:PSS393148 QCO392942:QCO393148 QMK392942:QMK393148 QWG392942:QWG393148 RGC392942:RGC393148 RPY392942:RPY393148 RZU392942:RZU393148 SJQ392942:SJQ393148 STM392942:STM393148 TDI392942:TDI393148 TNE392942:TNE393148 TXA392942:TXA393148 UGW392942:UGW393148 UQS392942:UQS393148 VAO392942:VAO393148 VKK392942:VKK393148 VUG392942:VUG393148 WEC392942:WEC393148 WNY392942:WNY393148 WXU392942:WXU393148 LI458478:LI458684 VE458478:VE458684 AFA458478:AFA458684 AOW458478:AOW458684 AYS458478:AYS458684 BIO458478:BIO458684 BSK458478:BSK458684 CCG458478:CCG458684 CMC458478:CMC458684 CVY458478:CVY458684 DFU458478:DFU458684 DPQ458478:DPQ458684 DZM458478:DZM458684 EJI458478:EJI458684 ETE458478:ETE458684 FDA458478:FDA458684 FMW458478:FMW458684 FWS458478:FWS458684 GGO458478:GGO458684 GQK458478:GQK458684 HAG458478:HAG458684 HKC458478:HKC458684 HTY458478:HTY458684 IDU458478:IDU458684 INQ458478:INQ458684 IXM458478:IXM458684 JHI458478:JHI458684 JRE458478:JRE458684 KBA458478:KBA458684 KKW458478:KKW458684 KUS458478:KUS458684 LEO458478:LEO458684 LOK458478:LOK458684 LYG458478:LYG458684 MIC458478:MIC458684 MRY458478:MRY458684 NBU458478:NBU458684 NLQ458478:NLQ458684 NVM458478:NVM458684 OFI458478:OFI458684 OPE458478:OPE458684 OZA458478:OZA458684 PIW458478:PIW458684 PSS458478:PSS458684 QCO458478:QCO458684 QMK458478:QMK458684 QWG458478:QWG458684 RGC458478:RGC458684 RPY458478:RPY458684 RZU458478:RZU458684 SJQ458478:SJQ458684 STM458478:STM458684 TDI458478:TDI458684 TNE458478:TNE458684 TXA458478:TXA458684 UGW458478:UGW458684 UQS458478:UQS458684 VAO458478:VAO458684 VKK458478:VKK458684 VUG458478:VUG458684 WEC458478:WEC458684 WNY458478:WNY458684 WXU458478:WXU458684 LI524014:LI524220 VE524014:VE524220 AFA524014:AFA524220 AOW524014:AOW524220 AYS524014:AYS524220 BIO524014:BIO524220 BSK524014:BSK524220 CCG524014:CCG524220 CMC524014:CMC524220 CVY524014:CVY524220 DFU524014:DFU524220 DPQ524014:DPQ524220 DZM524014:DZM524220 EJI524014:EJI524220 ETE524014:ETE524220 FDA524014:FDA524220 FMW524014:FMW524220 FWS524014:FWS524220 GGO524014:GGO524220 GQK524014:GQK524220 HAG524014:HAG524220 HKC524014:HKC524220 HTY524014:HTY524220 IDU524014:IDU524220 INQ524014:INQ524220 IXM524014:IXM524220 JHI524014:JHI524220 JRE524014:JRE524220 KBA524014:KBA524220 KKW524014:KKW524220 KUS524014:KUS524220 LEO524014:LEO524220 LOK524014:LOK524220 LYG524014:LYG524220 MIC524014:MIC524220 MRY524014:MRY524220 NBU524014:NBU524220 NLQ524014:NLQ524220 NVM524014:NVM524220 OFI524014:OFI524220 OPE524014:OPE524220 OZA524014:OZA524220 PIW524014:PIW524220 PSS524014:PSS524220 QCO524014:QCO524220 QMK524014:QMK524220 QWG524014:QWG524220 RGC524014:RGC524220 RPY524014:RPY524220 RZU524014:RZU524220 SJQ524014:SJQ524220 STM524014:STM524220 TDI524014:TDI524220 TNE524014:TNE524220 TXA524014:TXA524220 UGW524014:UGW524220 UQS524014:UQS524220 VAO524014:VAO524220 VKK524014:VKK524220 VUG524014:VUG524220 WEC524014:WEC524220 WNY524014:WNY524220 WXU524014:WXU524220 LI589550:LI589756 VE589550:VE589756 AFA589550:AFA589756 AOW589550:AOW589756 AYS589550:AYS589756 BIO589550:BIO589756 BSK589550:BSK589756 CCG589550:CCG589756 CMC589550:CMC589756 CVY589550:CVY589756 DFU589550:DFU589756 DPQ589550:DPQ589756 DZM589550:DZM589756 EJI589550:EJI589756 ETE589550:ETE589756 FDA589550:FDA589756 FMW589550:FMW589756 FWS589550:FWS589756 GGO589550:GGO589756 GQK589550:GQK589756 HAG589550:HAG589756 HKC589550:HKC589756 HTY589550:HTY589756 IDU589550:IDU589756 INQ589550:INQ589756 IXM589550:IXM589756 JHI589550:JHI589756 JRE589550:JRE589756 KBA589550:KBA589756 KKW589550:KKW589756 KUS589550:KUS589756 LEO589550:LEO589756 LOK589550:LOK589756 LYG589550:LYG589756 MIC589550:MIC589756 MRY589550:MRY589756 NBU589550:NBU589756 NLQ589550:NLQ589756 NVM589550:NVM589756 OFI589550:OFI589756 OPE589550:OPE589756 OZA589550:OZA589756 PIW589550:PIW589756 PSS589550:PSS589756 QCO589550:QCO589756 QMK589550:QMK589756 QWG589550:QWG589756 RGC589550:RGC589756 RPY589550:RPY589756 RZU589550:RZU589756 SJQ589550:SJQ589756 STM589550:STM589756 TDI589550:TDI589756 TNE589550:TNE589756 TXA589550:TXA589756 UGW589550:UGW589756 UQS589550:UQS589756 VAO589550:VAO589756 VKK589550:VKK589756 VUG589550:VUG589756 WEC589550:WEC589756 WNY589550:WNY589756 WXU589550:WXU589756 LI655086:LI655292 VE655086:VE655292 AFA655086:AFA655292 AOW655086:AOW655292 AYS655086:AYS655292 BIO655086:BIO655292 BSK655086:BSK655292 CCG655086:CCG655292 CMC655086:CMC655292 CVY655086:CVY655292 DFU655086:DFU655292 DPQ655086:DPQ655292 DZM655086:DZM655292 EJI655086:EJI655292 ETE655086:ETE655292 FDA655086:FDA655292 FMW655086:FMW655292 FWS655086:FWS655292 GGO655086:GGO655292 GQK655086:GQK655292 HAG655086:HAG655292 HKC655086:HKC655292 HTY655086:HTY655292 IDU655086:IDU655292 INQ655086:INQ655292 IXM655086:IXM655292 JHI655086:JHI655292 JRE655086:JRE655292 KBA655086:KBA655292 KKW655086:KKW655292 KUS655086:KUS655292 LEO655086:LEO655292 LOK655086:LOK655292 LYG655086:LYG655292 MIC655086:MIC655292 MRY655086:MRY655292 NBU655086:NBU655292 NLQ655086:NLQ655292 NVM655086:NVM655292 OFI655086:OFI655292 OPE655086:OPE655292 OZA655086:OZA655292 PIW655086:PIW655292 PSS655086:PSS655292 QCO655086:QCO655292 QMK655086:QMK655292 QWG655086:QWG655292 RGC655086:RGC655292 RPY655086:RPY655292 RZU655086:RZU655292 SJQ655086:SJQ655292 STM655086:STM655292 TDI655086:TDI655292 TNE655086:TNE655292 TXA655086:TXA655292 UGW655086:UGW655292 UQS655086:UQS655292 VAO655086:VAO655292 VKK655086:VKK655292 VUG655086:VUG655292 WEC655086:WEC655292 WNY655086:WNY655292 WXU655086:WXU655292 LI720622:LI720828 VE720622:VE720828 AFA720622:AFA720828 AOW720622:AOW720828 AYS720622:AYS720828 BIO720622:BIO720828 BSK720622:BSK720828 CCG720622:CCG720828 CMC720622:CMC720828 CVY720622:CVY720828 DFU720622:DFU720828 DPQ720622:DPQ720828 DZM720622:DZM720828 EJI720622:EJI720828 ETE720622:ETE720828 FDA720622:FDA720828 FMW720622:FMW720828 FWS720622:FWS720828 GGO720622:GGO720828 GQK720622:GQK720828 HAG720622:HAG720828 HKC720622:HKC720828 HTY720622:HTY720828 IDU720622:IDU720828 INQ720622:INQ720828 IXM720622:IXM720828 JHI720622:JHI720828 JRE720622:JRE720828 KBA720622:KBA720828 KKW720622:KKW720828 KUS720622:KUS720828 LEO720622:LEO720828 LOK720622:LOK720828 LYG720622:LYG720828 MIC720622:MIC720828 MRY720622:MRY720828 NBU720622:NBU720828 NLQ720622:NLQ720828 NVM720622:NVM720828 OFI720622:OFI720828 OPE720622:OPE720828 OZA720622:OZA720828 PIW720622:PIW720828 PSS720622:PSS720828 QCO720622:QCO720828 QMK720622:QMK720828 QWG720622:QWG720828 RGC720622:RGC720828 RPY720622:RPY720828 RZU720622:RZU720828 SJQ720622:SJQ720828 STM720622:STM720828 TDI720622:TDI720828 TNE720622:TNE720828 TXA720622:TXA720828 UGW720622:UGW720828 UQS720622:UQS720828 VAO720622:VAO720828 VKK720622:VKK720828 VUG720622:VUG720828 WEC720622:WEC720828 WNY720622:WNY720828 WXU720622:WXU720828 LI786158:LI786364 VE786158:VE786364 AFA786158:AFA786364 AOW786158:AOW786364 AYS786158:AYS786364 BIO786158:BIO786364 BSK786158:BSK786364 CCG786158:CCG786364 CMC786158:CMC786364 CVY786158:CVY786364 DFU786158:DFU786364 DPQ786158:DPQ786364 DZM786158:DZM786364 EJI786158:EJI786364 ETE786158:ETE786364 FDA786158:FDA786364 FMW786158:FMW786364 FWS786158:FWS786364 GGO786158:GGO786364 GQK786158:GQK786364 HAG786158:HAG786364 HKC786158:HKC786364 HTY786158:HTY786364 IDU786158:IDU786364 INQ786158:INQ786364 IXM786158:IXM786364 JHI786158:JHI786364 JRE786158:JRE786364 KBA786158:KBA786364 KKW786158:KKW786364 KUS786158:KUS786364 LEO786158:LEO786364 LOK786158:LOK786364 LYG786158:LYG786364 MIC786158:MIC786364 MRY786158:MRY786364 NBU786158:NBU786364 NLQ786158:NLQ786364 NVM786158:NVM786364 OFI786158:OFI786364 OPE786158:OPE786364 OZA786158:OZA786364 PIW786158:PIW786364 PSS786158:PSS786364 QCO786158:QCO786364 QMK786158:QMK786364 QWG786158:QWG786364 RGC786158:RGC786364 RPY786158:RPY786364 RZU786158:RZU786364 SJQ786158:SJQ786364 STM786158:STM786364 TDI786158:TDI786364 TNE786158:TNE786364 TXA786158:TXA786364 UGW786158:UGW786364 UQS786158:UQS786364 VAO786158:VAO786364 VKK786158:VKK786364 VUG786158:VUG786364 WEC786158:WEC786364 WNY786158:WNY786364 WXU786158:WXU786364 LI851694:LI851900 VE851694:VE851900 AFA851694:AFA851900 AOW851694:AOW851900 AYS851694:AYS851900 BIO851694:BIO851900 BSK851694:BSK851900 CCG851694:CCG851900 CMC851694:CMC851900 CVY851694:CVY851900 DFU851694:DFU851900 DPQ851694:DPQ851900 DZM851694:DZM851900 EJI851694:EJI851900 ETE851694:ETE851900 FDA851694:FDA851900 FMW851694:FMW851900 FWS851694:FWS851900 GGO851694:GGO851900 GQK851694:GQK851900 HAG851694:HAG851900 HKC851694:HKC851900 HTY851694:HTY851900 IDU851694:IDU851900 INQ851694:INQ851900 IXM851694:IXM851900 JHI851694:JHI851900 JRE851694:JRE851900 KBA851694:KBA851900 KKW851694:KKW851900 KUS851694:KUS851900 LEO851694:LEO851900 LOK851694:LOK851900 LYG851694:LYG851900 MIC851694:MIC851900 MRY851694:MRY851900 NBU851694:NBU851900 NLQ851694:NLQ851900 NVM851694:NVM851900 OFI851694:OFI851900 OPE851694:OPE851900 OZA851694:OZA851900 PIW851694:PIW851900 PSS851694:PSS851900 QCO851694:QCO851900 QMK851694:QMK851900 QWG851694:QWG851900 RGC851694:RGC851900 RPY851694:RPY851900 RZU851694:RZU851900 SJQ851694:SJQ851900 STM851694:STM851900 TDI851694:TDI851900 TNE851694:TNE851900 TXA851694:TXA851900 UGW851694:UGW851900 UQS851694:UQS851900 VAO851694:VAO851900 VKK851694:VKK851900 VUG851694:VUG851900 WEC851694:WEC851900 WNY851694:WNY851900 WXU851694:WXU851900 LI917230:LI917436 VE917230:VE917436 AFA917230:AFA917436 AOW917230:AOW917436 AYS917230:AYS917436 BIO917230:BIO917436 BSK917230:BSK917436 CCG917230:CCG917436 CMC917230:CMC917436 CVY917230:CVY917436 DFU917230:DFU917436 DPQ917230:DPQ917436 DZM917230:DZM917436 EJI917230:EJI917436 ETE917230:ETE917436 FDA917230:FDA917436 FMW917230:FMW917436 FWS917230:FWS917436 GGO917230:GGO917436 GQK917230:GQK917436 HAG917230:HAG917436 HKC917230:HKC917436 HTY917230:HTY917436 IDU917230:IDU917436 INQ917230:INQ917436 IXM917230:IXM917436 JHI917230:JHI917436 JRE917230:JRE917436 KBA917230:KBA917436 KKW917230:KKW917436 KUS917230:KUS917436 LEO917230:LEO917436 LOK917230:LOK917436 LYG917230:LYG917436 MIC917230:MIC917436 MRY917230:MRY917436 NBU917230:NBU917436 NLQ917230:NLQ917436 NVM917230:NVM917436 OFI917230:OFI917436 OPE917230:OPE917436 OZA917230:OZA917436 PIW917230:PIW917436 PSS917230:PSS917436 QCO917230:QCO917436 QMK917230:QMK917436 QWG917230:QWG917436 RGC917230:RGC917436 RPY917230:RPY917436 RZU917230:RZU917436 SJQ917230:SJQ917436 STM917230:STM917436 TDI917230:TDI917436 TNE917230:TNE917436 TXA917230:TXA917436 UGW917230:UGW917436 UQS917230:UQS917436 VAO917230:VAO917436 VKK917230:VKK917436 VUG917230:VUG917436 WEC917230:WEC917436 WNY917230:WNY917436 WXU917230:WXU917436 LI982766:LI982972 VE982766:VE982972 AFA982766:AFA982972 AOW982766:AOW982972 AYS982766:AYS982972 BIO982766:BIO982972 BSK982766:BSK982972 CCG982766:CCG982972 CMC982766:CMC982972 CVY982766:CVY982972 DFU982766:DFU982972 DPQ982766:DPQ982972 DZM982766:DZM982972 EJI982766:EJI982972 ETE982766:ETE982972 FDA982766:FDA982972 FMW982766:FMW982972 FWS982766:FWS982972 GGO982766:GGO982972 GQK982766:GQK982972 HAG982766:HAG982972 HKC982766:HKC982972 HTY982766:HTY982972 IDU982766:IDU982972 INQ982766:INQ982972 IXM982766:IXM982972 JHI982766:JHI982972 JRE982766:JRE982972 KBA982766:KBA982972 KKW982766:KKW982972 KUS982766:KUS982972 LEO982766:LEO982972 LOK982766:LOK982972 LYG982766:LYG982972 MIC982766:MIC982972 MRY982766:MRY982972 NBU982766:NBU982972 NLQ982766:NLQ982972 NVM982766:NVM982972 OFI982766:OFI982972 OPE982766:OPE982972 OZA982766:OZA982972 PIW982766:PIW982972 PSS982766:PSS982972 QCO982766:QCO982972 QMK982766:QMK982972 QWG982766:QWG982972 RGC982766:RGC982972 RPY982766:RPY982972 RZU982766:RZU982972 SJQ982766:SJQ982972 STM982766:STM982972 TDI982766:TDI982972 TNE982766:TNE982972 TXA982766:TXA982972 UGW982766:UGW982972 UQS982766:UQS982972 VAO982766:VAO982972 VKK982766:VKK982972 VUG982766:VUG982972 WEC982766:WEC982972 WNY982766:WNY982972 WXU982766:WXU982972 BR65262:BS65468 LN65262:LN65468 VJ65262:VJ65468 AFF65262:AFF65468 APB65262:APB65468 AYX65262:AYX65468 BIT65262:BIT65468 BSP65262:BSP65468 CCL65262:CCL65468 CMH65262:CMH65468 CWD65262:CWD65468 DFZ65262:DFZ65468 DPV65262:DPV65468 DZR65262:DZR65468 EJN65262:EJN65468 ETJ65262:ETJ65468 FDF65262:FDF65468 FNB65262:FNB65468 FWX65262:FWX65468 GGT65262:GGT65468 GQP65262:GQP65468 HAL65262:HAL65468 HKH65262:HKH65468 HUD65262:HUD65468 IDZ65262:IDZ65468 INV65262:INV65468 IXR65262:IXR65468 JHN65262:JHN65468 JRJ65262:JRJ65468 KBF65262:KBF65468 KLB65262:KLB65468 KUX65262:KUX65468 LET65262:LET65468 LOP65262:LOP65468 LYL65262:LYL65468 MIH65262:MIH65468 MSD65262:MSD65468 NBZ65262:NBZ65468 NLV65262:NLV65468 NVR65262:NVR65468 OFN65262:OFN65468 OPJ65262:OPJ65468 OZF65262:OZF65468 PJB65262:PJB65468 PSX65262:PSX65468 QCT65262:QCT65468 QMP65262:QMP65468 QWL65262:QWL65468 RGH65262:RGH65468 RQD65262:RQD65468 RZZ65262:RZZ65468 SJV65262:SJV65468 STR65262:STR65468 TDN65262:TDN65468 TNJ65262:TNJ65468 TXF65262:TXF65468 UHB65262:UHB65468 UQX65262:UQX65468 VAT65262:VAT65468 VKP65262:VKP65468 VUL65262:VUL65468 WEH65262:WEH65468 WOD65262:WOD65468 WXZ65262:WXZ65468 BR130798:BS131004 LN130798:LN131004 VJ130798:VJ131004 AFF130798:AFF131004 APB130798:APB131004 AYX130798:AYX131004 BIT130798:BIT131004 BSP130798:BSP131004 CCL130798:CCL131004 CMH130798:CMH131004 CWD130798:CWD131004 DFZ130798:DFZ131004 DPV130798:DPV131004 DZR130798:DZR131004 EJN130798:EJN131004 ETJ130798:ETJ131004 FDF130798:FDF131004 FNB130798:FNB131004 FWX130798:FWX131004 GGT130798:GGT131004 GQP130798:GQP131004 HAL130798:HAL131004 HKH130798:HKH131004 HUD130798:HUD131004 IDZ130798:IDZ131004 INV130798:INV131004 IXR130798:IXR131004 JHN130798:JHN131004 JRJ130798:JRJ131004 KBF130798:KBF131004 KLB130798:KLB131004 KUX130798:KUX131004 LET130798:LET131004 LOP130798:LOP131004 LYL130798:LYL131004 MIH130798:MIH131004 MSD130798:MSD131004 NBZ130798:NBZ131004 NLV130798:NLV131004 NVR130798:NVR131004 OFN130798:OFN131004 OPJ130798:OPJ131004 OZF130798:OZF131004 PJB130798:PJB131004 PSX130798:PSX131004 QCT130798:QCT131004 QMP130798:QMP131004 QWL130798:QWL131004 RGH130798:RGH131004 RQD130798:RQD131004 RZZ130798:RZZ131004 SJV130798:SJV131004 STR130798:STR131004 TDN130798:TDN131004 TNJ130798:TNJ131004 TXF130798:TXF131004 UHB130798:UHB131004 UQX130798:UQX131004 VAT130798:VAT131004 VKP130798:VKP131004 VUL130798:VUL131004 WEH130798:WEH131004 WOD130798:WOD131004 WXZ130798:WXZ131004 BR196334:BS196540 LN196334:LN196540 VJ196334:VJ196540 AFF196334:AFF196540 APB196334:APB196540 AYX196334:AYX196540 BIT196334:BIT196540 BSP196334:BSP196540 CCL196334:CCL196540 CMH196334:CMH196540 CWD196334:CWD196540 DFZ196334:DFZ196540 DPV196334:DPV196540 DZR196334:DZR196540 EJN196334:EJN196540 ETJ196334:ETJ196540 FDF196334:FDF196540 FNB196334:FNB196540 FWX196334:FWX196540 GGT196334:GGT196540 GQP196334:GQP196540 HAL196334:HAL196540 HKH196334:HKH196540 HUD196334:HUD196540 IDZ196334:IDZ196540 INV196334:INV196540 IXR196334:IXR196540 JHN196334:JHN196540 JRJ196334:JRJ196540 KBF196334:KBF196540 KLB196334:KLB196540 KUX196334:KUX196540 LET196334:LET196540 LOP196334:LOP196540 LYL196334:LYL196540 MIH196334:MIH196540 MSD196334:MSD196540 NBZ196334:NBZ196540 NLV196334:NLV196540 NVR196334:NVR196540 OFN196334:OFN196540 OPJ196334:OPJ196540 OZF196334:OZF196540 PJB196334:PJB196540 PSX196334:PSX196540 QCT196334:QCT196540 QMP196334:QMP196540 QWL196334:QWL196540 RGH196334:RGH196540 RQD196334:RQD196540 RZZ196334:RZZ196540 SJV196334:SJV196540 STR196334:STR196540 TDN196334:TDN196540 TNJ196334:TNJ196540 TXF196334:TXF196540 UHB196334:UHB196540 UQX196334:UQX196540 VAT196334:VAT196540 VKP196334:VKP196540 VUL196334:VUL196540 WEH196334:WEH196540 WOD196334:WOD196540 WXZ196334:WXZ196540 BR261870:BS262076 LN261870:LN262076 VJ261870:VJ262076 AFF261870:AFF262076 APB261870:APB262076 AYX261870:AYX262076 BIT261870:BIT262076 BSP261870:BSP262076 CCL261870:CCL262076 CMH261870:CMH262076 CWD261870:CWD262076 DFZ261870:DFZ262076 DPV261870:DPV262076 DZR261870:DZR262076 EJN261870:EJN262076 ETJ261870:ETJ262076 FDF261870:FDF262076 FNB261870:FNB262076 FWX261870:FWX262076 GGT261870:GGT262076 GQP261870:GQP262076 HAL261870:HAL262076 HKH261870:HKH262076 HUD261870:HUD262076 IDZ261870:IDZ262076 INV261870:INV262076 IXR261870:IXR262076 JHN261870:JHN262076 JRJ261870:JRJ262076 KBF261870:KBF262076 KLB261870:KLB262076 KUX261870:KUX262076 LET261870:LET262076 LOP261870:LOP262076 LYL261870:LYL262076 MIH261870:MIH262076 MSD261870:MSD262076 NBZ261870:NBZ262076 NLV261870:NLV262076 NVR261870:NVR262076 OFN261870:OFN262076 OPJ261870:OPJ262076 OZF261870:OZF262076 PJB261870:PJB262076 PSX261870:PSX262076 QCT261870:QCT262076 QMP261870:QMP262076 QWL261870:QWL262076 RGH261870:RGH262076 RQD261870:RQD262076 RZZ261870:RZZ262076 SJV261870:SJV262076 STR261870:STR262076 TDN261870:TDN262076 TNJ261870:TNJ262076 TXF261870:TXF262076 UHB261870:UHB262076 UQX261870:UQX262076 VAT261870:VAT262076 VKP261870:VKP262076 VUL261870:VUL262076 WEH261870:WEH262076 WOD261870:WOD262076 WXZ261870:WXZ262076 BR327406:BS327612 LN327406:LN327612 VJ327406:VJ327612 AFF327406:AFF327612 APB327406:APB327612 AYX327406:AYX327612 BIT327406:BIT327612 BSP327406:BSP327612 CCL327406:CCL327612 CMH327406:CMH327612 CWD327406:CWD327612 DFZ327406:DFZ327612 DPV327406:DPV327612 DZR327406:DZR327612 EJN327406:EJN327612 ETJ327406:ETJ327612 FDF327406:FDF327612 FNB327406:FNB327612 FWX327406:FWX327612 GGT327406:GGT327612 GQP327406:GQP327612 HAL327406:HAL327612 HKH327406:HKH327612 HUD327406:HUD327612 IDZ327406:IDZ327612 INV327406:INV327612 IXR327406:IXR327612 JHN327406:JHN327612 JRJ327406:JRJ327612 KBF327406:KBF327612 KLB327406:KLB327612 KUX327406:KUX327612 LET327406:LET327612 LOP327406:LOP327612 LYL327406:LYL327612 MIH327406:MIH327612 MSD327406:MSD327612 NBZ327406:NBZ327612 NLV327406:NLV327612 NVR327406:NVR327612 OFN327406:OFN327612 OPJ327406:OPJ327612 OZF327406:OZF327612 PJB327406:PJB327612 PSX327406:PSX327612 QCT327406:QCT327612 QMP327406:QMP327612 QWL327406:QWL327612 RGH327406:RGH327612 RQD327406:RQD327612 RZZ327406:RZZ327612 SJV327406:SJV327612 STR327406:STR327612 TDN327406:TDN327612 TNJ327406:TNJ327612 TXF327406:TXF327612 UHB327406:UHB327612 UQX327406:UQX327612 VAT327406:VAT327612 VKP327406:VKP327612 VUL327406:VUL327612 WEH327406:WEH327612 WOD327406:WOD327612 WXZ327406:WXZ327612 BR392942:BS393148 LN392942:LN393148 VJ392942:VJ393148 AFF392942:AFF393148 APB392942:APB393148 AYX392942:AYX393148 BIT392942:BIT393148 BSP392942:BSP393148 CCL392942:CCL393148 CMH392942:CMH393148 CWD392942:CWD393148 DFZ392942:DFZ393148 DPV392942:DPV393148 DZR392942:DZR393148 EJN392942:EJN393148 ETJ392942:ETJ393148 FDF392942:FDF393148 FNB392942:FNB393148 FWX392942:FWX393148 GGT392942:GGT393148 GQP392942:GQP393148 HAL392942:HAL393148 HKH392942:HKH393148 HUD392942:HUD393148 IDZ392942:IDZ393148 INV392942:INV393148 IXR392942:IXR393148 JHN392942:JHN393148 JRJ392942:JRJ393148 KBF392942:KBF393148 KLB392942:KLB393148 KUX392942:KUX393148 LET392942:LET393148 LOP392942:LOP393148 LYL392942:LYL393148 MIH392942:MIH393148 MSD392942:MSD393148 NBZ392942:NBZ393148 NLV392942:NLV393148 NVR392942:NVR393148 OFN392942:OFN393148 OPJ392942:OPJ393148 OZF392942:OZF393148 PJB392942:PJB393148 PSX392942:PSX393148 QCT392942:QCT393148 QMP392942:QMP393148 QWL392942:QWL393148 RGH392942:RGH393148 RQD392942:RQD393148 RZZ392942:RZZ393148 SJV392942:SJV393148 STR392942:STR393148 TDN392942:TDN393148 TNJ392942:TNJ393148 TXF392942:TXF393148 UHB392942:UHB393148 UQX392942:UQX393148 VAT392942:VAT393148 VKP392942:VKP393148 VUL392942:VUL393148 WEH392942:WEH393148 WOD392942:WOD393148 WXZ392942:WXZ393148 BR458478:BS458684 LN458478:LN458684 VJ458478:VJ458684 AFF458478:AFF458684 APB458478:APB458684 AYX458478:AYX458684 BIT458478:BIT458684 BSP458478:BSP458684 CCL458478:CCL458684 CMH458478:CMH458684 CWD458478:CWD458684 DFZ458478:DFZ458684 DPV458478:DPV458684 DZR458478:DZR458684 EJN458478:EJN458684 ETJ458478:ETJ458684 FDF458478:FDF458684 FNB458478:FNB458684 FWX458478:FWX458684 GGT458478:GGT458684 GQP458478:GQP458684 HAL458478:HAL458684 HKH458478:HKH458684 HUD458478:HUD458684 IDZ458478:IDZ458684 INV458478:INV458684 IXR458478:IXR458684 JHN458478:JHN458684 JRJ458478:JRJ458684 KBF458478:KBF458684 KLB458478:KLB458684 KUX458478:KUX458684 LET458478:LET458684 LOP458478:LOP458684 LYL458478:LYL458684 MIH458478:MIH458684 MSD458478:MSD458684 NBZ458478:NBZ458684 NLV458478:NLV458684 NVR458478:NVR458684 OFN458478:OFN458684 OPJ458478:OPJ458684 OZF458478:OZF458684 PJB458478:PJB458684 PSX458478:PSX458684 QCT458478:QCT458684 QMP458478:QMP458684 QWL458478:QWL458684 RGH458478:RGH458684 RQD458478:RQD458684 RZZ458478:RZZ458684 SJV458478:SJV458684 STR458478:STR458684 TDN458478:TDN458684 TNJ458478:TNJ458684 TXF458478:TXF458684 UHB458478:UHB458684 UQX458478:UQX458684 VAT458478:VAT458684 VKP458478:VKP458684 VUL458478:VUL458684 WEH458478:WEH458684 WOD458478:WOD458684 WXZ458478:WXZ458684 BR524014:BS524220 LN524014:LN524220 VJ524014:VJ524220 AFF524014:AFF524220 APB524014:APB524220 AYX524014:AYX524220 BIT524014:BIT524220 BSP524014:BSP524220 CCL524014:CCL524220 CMH524014:CMH524220 CWD524014:CWD524220 DFZ524014:DFZ524220 DPV524014:DPV524220 DZR524014:DZR524220 EJN524014:EJN524220 ETJ524014:ETJ524220 FDF524014:FDF524220 FNB524014:FNB524220 FWX524014:FWX524220 GGT524014:GGT524220 GQP524014:GQP524220 HAL524014:HAL524220 HKH524014:HKH524220 HUD524014:HUD524220 IDZ524014:IDZ524220 INV524014:INV524220 IXR524014:IXR524220 JHN524014:JHN524220 JRJ524014:JRJ524220 KBF524014:KBF524220 KLB524014:KLB524220 KUX524014:KUX524220 LET524014:LET524220 LOP524014:LOP524220 LYL524014:LYL524220 MIH524014:MIH524220 MSD524014:MSD524220 NBZ524014:NBZ524220 NLV524014:NLV524220 NVR524014:NVR524220 OFN524014:OFN524220 OPJ524014:OPJ524220 OZF524014:OZF524220 PJB524014:PJB524220 PSX524014:PSX524220 QCT524014:QCT524220 QMP524014:QMP524220 QWL524014:QWL524220 RGH524014:RGH524220 RQD524014:RQD524220 RZZ524014:RZZ524220 SJV524014:SJV524220 STR524014:STR524220 TDN524014:TDN524220 TNJ524014:TNJ524220 TXF524014:TXF524220 UHB524014:UHB524220 UQX524014:UQX524220 VAT524014:VAT524220 VKP524014:VKP524220 VUL524014:VUL524220 WEH524014:WEH524220 WOD524014:WOD524220 WXZ524014:WXZ524220 BR589550:BS589756 LN589550:LN589756 VJ589550:VJ589756 AFF589550:AFF589756 APB589550:APB589756 AYX589550:AYX589756 BIT589550:BIT589756 BSP589550:BSP589756 CCL589550:CCL589756 CMH589550:CMH589756 CWD589550:CWD589756 DFZ589550:DFZ589756 DPV589550:DPV589756 DZR589550:DZR589756 EJN589550:EJN589756 ETJ589550:ETJ589756 FDF589550:FDF589756 FNB589550:FNB589756 FWX589550:FWX589756 GGT589550:GGT589756 GQP589550:GQP589756 HAL589550:HAL589756 HKH589550:HKH589756 HUD589550:HUD589756 IDZ589550:IDZ589756 INV589550:INV589756 IXR589550:IXR589756 JHN589550:JHN589756 JRJ589550:JRJ589756 KBF589550:KBF589756 KLB589550:KLB589756 KUX589550:KUX589756 LET589550:LET589756 LOP589550:LOP589756 LYL589550:LYL589756 MIH589550:MIH589756 MSD589550:MSD589756 NBZ589550:NBZ589756 NLV589550:NLV589756 NVR589550:NVR589756 OFN589550:OFN589756 OPJ589550:OPJ589756 OZF589550:OZF589756 PJB589550:PJB589756 PSX589550:PSX589756 QCT589550:QCT589756 QMP589550:QMP589756 QWL589550:QWL589756 RGH589550:RGH589756 RQD589550:RQD589756 RZZ589550:RZZ589756 SJV589550:SJV589756 STR589550:STR589756 TDN589550:TDN589756 TNJ589550:TNJ589756 TXF589550:TXF589756 UHB589550:UHB589756 UQX589550:UQX589756 VAT589550:VAT589756 VKP589550:VKP589756 VUL589550:VUL589756 WEH589550:WEH589756 WOD589550:WOD589756 WXZ589550:WXZ589756 BR655086:BS655292 LN655086:LN655292 VJ655086:VJ655292 AFF655086:AFF655292 APB655086:APB655292 AYX655086:AYX655292 BIT655086:BIT655292 BSP655086:BSP655292 CCL655086:CCL655292 CMH655086:CMH655292 CWD655086:CWD655292 DFZ655086:DFZ655292 DPV655086:DPV655292 DZR655086:DZR655292 EJN655086:EJN655292 ETJ655086:ETJ655292 FDF655086:FDF655292 FNB655086:FNB655292 FWX655086:FWX655292 GGT655086:GGT655292 GQP655086:GQP655292 HAL655086:HAL655292 HKH655086:HKH655292 HUD655086:HUD655292 IDZ655086:IDZ655292 INV655086:INV655292 IXR655086:IXR655292 JHN655086:JHN655292 JRJ655086:JRJ655292 KBF655086:KBF655292 KLB655086:KLB655292 KUX655086:KUX655292 LET655086:LET655292 LOP655086:LOP655292 LYL655086:LYL655292 MIH655086:MIH655292 MSD655086:MSD655292 NBZ655086:NBZ655292 NLV655086:NLV655292 NVR655086:NVR655292 OFN655086:OFN655292 OPJ655086:OPJ655292 OZF655086:OZF655292 PJB655086:PJB655292 PSX655086:PSX655292 QCT655086:QCT655292 QMP655086:QMP655292 QWL655086:QWL655292 RGH655086:RGH655292 RQD655086:RQD655292 RZZ655086:RZZ655292 SJV655086:SJV655292 STR655086:STR655292 TDN655086:TDN655292 TNJ655086:TNJ655292 TXF655086:TXF655292 UHB655086:UHB655292 UQX655086:UQX655292 VAT655086:VAT655292 VKP655086:VKP655292 VUL655086:VUL655292 WEH655086:WEH655292 WOD655086:WOD655292 WXZ655086:WXZ655292 BR720622:BS720828 LN720622:LN720828 VJ720622:VJ720828 AFF720622:AFF720828 APB720622:APB720828 AYX720622:AYX720828 BIT720622:BIT720828 BSP720622:BSP720828 CCL720622:CCL720828 CMH720622:CMH720828 CWD720622:CWD720828 DFZ720622:DFZ720828 DPV720622:DPV720828 DZR720622:DZR720828 EJN720622:EJN720828 ETJ720622:ETJ720828 FDF720622:FDF720828 FNB720622:FNB720828 FWX720622:FWX720828 GGT720622:GGT720828 GQP720622:GQP720828 HAL720622:HAL720828 HKH720622:HKH720828 HUD720622:HUD720828 IDZ720622:IDZ720828 INV720622:INV720828 IXR720622:IXR720828 JHN720622:JHN720828 JRJ720622:JRJ720828 KBF720622:KBF720828 KLB720622:KLB720828 KUX720622:KUX720828 LET720622:LET720828 LOP720622:LOP720828 LYL720622:LYL720828 MIH720622:MIH720828 MSD720622:MSD720828 NBZ720622:NBZ720828 NLV720622:NLV720828 NVR720622:NVR720828 OFN720622:OFN720828 OPJ720622:OPJ720828 OZF720622:OZF720828 PJB720622:PJB720828 PSX720622:PSX720828 QCT720622:QCT720828 QMP720622:QMP720828 QWL720622:QWL720828 RGH720622:RGH720828 RQD720622:RQD720828 RZZ720622:RZZ720828 SJV720622:SJV720828 STR720622:STR720828 TDN720622:TDN720828 TNJ720622:TNJ720828 TXF720622:TXF720828 UHB720622:UHB720828 UQX720622:UQX720828 VAT720622:VAT720828 VKP720622:VKP720828 VUL720622:VUL720828 WEH720622:WEH720828 WOD720622:WOD720828 WXZ720622:WXZ720828 BR786158:BS786364 LN786158:LN786364 VJ786158:VJ786364 AFF786158:AFF786364 APB786158:APB786364 AYX786158:AYX786364 BIT786158:BIT786364 BSP786158:BSP786364 CCL786158:CCL786364 CMH786158:CMH786364 CWD786158:CWD786364 DFZ786158:DFZ786364 DPV786158:DPV786364 DZR786158:DZR786364 EJN786158:EJN786364 ETJ786158:ETJ786364 FDF786158:FDF786364 FNB786158:FNB786364 FWX786158:FWX786364 GGT786158:GGT786364 GQP786158:GQP786364 HAL786158:HAL786364 HKH786158:HKH786364 HUD786158:HUD786364 IDZ786158:IDZ786364 INV786158:INV786364 IXR786158:IXR786364 JHN786158:JHN786364 JRJ786158:JRJ786364 KBF786158:KBF786364 KLB786158:KLB786364 KUX786158:KUX786364 LET786158:LET786364 LOP786158:LOP786364 LYL786158:LYL786364 MIH786158:MIH786364 MSD786158:MSD786364 NBZ786158:NBZ786364 NLV786158:NLV786364 NVR786158:NVR786364 OFN786158:OFN786364 OPJ786158:OPJ786364 OZF786158:OZF786364 PJB786158:PJB786364 PSX786158:PSX786364 QCT786158:QCT786364 QMP786158:QMP786364 QWL786158:QWL786364 RGH786158:RGH786364 RQD786158:RQD786364 RZZ786158:RZZ786364 SJV786158:SJV786364 STR786158:STR786364 TDN786158:TDN786364 TNJ786158:TNJ786364 TXF786158:TXF786364 UHB786158:UHB786364 UQX786158:UQX786364 VAT786158:VAT786364 VKP786158:VKP786364 VUL786158:VUL786364 WEH786158:WEH786364 WOD786158:WOD786364 WXZ786158:WXZ786364 BR851694:BS851900 LN851694:LN851900 VJ851694:VJ851900 AFF851694:AFF851900 APB851694:APB851900 AYX851694:AYX851900 BIT851694:BIT851900 BSP851694:BSP851900 CCL851694:CCL851900 CMH851694:CMH851900 CWD851694:CWD851900 DFZ851694:DFZ851900 DPV851694:DPV851900 DZR851694:DZR851900 EJN851694:EJN851900 ETJ851694:ETJ851900 FDF851694:FDF851900 FNB851694:FNB851900 FWX851694:FWX851900 GGT851694:GGT851900 GQP851694:GQP851900 HAL851694:HAL851900 HKH851694:HKH851900 HUD851694:HUD851900 IDZ851694:IDZ851900 INV851694:INV851900 IXR851694:IXR851900 JHN851694:JHN851900 JRJ851694:JRJ851900 KBF851694:KBF851900 KLB851694:KLB851900 KUX851694:KUX851900 LET851694:LET851900 LOP851694:LOP851900 LYL851694:LYL851900 MIH851694:MIH851900 MSD851694:MSD851900 NBZ851694:NBZ851900 NLV851694:NLV851900 NVR851694:NVR851900 OFN851694:OFN851900 OPJ851694:OPJ851900 OZF851694:OZF851900 PJB851694:PJB851900 PSX851694:PSX851900 QCT851694:QCT851900 QMP851694:QMP851900 QWL851694:QWL851900 RGH851694:RGH851900 RQD851694:RQD851900 RZZ851694:RZZ851900 SJV851694:SJV851900 STR851694:STR851900 TDN851694:TDN851900 TNJ851694:TNJ851900 TXF851694:TXF851900 UHB851694:UHB851900 UQX851694:UQX851900 VAT851694:VAT851900 VKP851694:VKP851900 VUL851694:VUL851900 WEH851694:WEH851900 WOD851694:WOD851900 WXZ851694:WXZ851900 BR917230:BS917436 LN917230:LN917436 VJ917230:VJ917436 AFF917230:AFF917436 APB917230:APB917436 AYX917230:AYX917436 BIT917230:BIT917436 BSP917230:BSP917436 CCL917230:CCL917436 CMH917230:CMH917436 CWD917230:CWD917436 DFZ917230:DFZ917436 DPV917230:DPV917436 DZR917230:DZR917436 EJN917230:EJN917436 ETJ917230:ETJ917436 FDF917230:FDF917436 FNB917230:FNB917436 FWX917230:FWX917436 GGT917230:GGT917436 GQP917230:GQP917436 HAL917230:HAL917436 HKH917230:HKH917436 HUD917230:HUD917436 IDZ917230:IDZ917436 INV917230:INV917436 IXR917230:IXR917436 JHN917230:JHN917436 JRJ917230:JRJ917436 KBF917230:KBF917436 KLB917230:KLB917436 KUX917230:KUX917436 LET917230:LET917436 LOP917230:LOP917436 LYL917230:LYL917436 MIH917230:MIH917436 MSD917230:MSD917436 NBZ917230:NBZ917436 NLV917230:NLV917436 NVR917230:NVR917436 OFN917230:OFN917436 OPJ917230:OPJ917436 OZF917230:OZF917436 PJB917230:PJB917436 PSX917230:PSX917436 QCT917230:QCT917436 QMP917230:QMP917436 QWL917230:QWL917436 RGH917230:RGH917436 RQD917230:RQD917436 RZZ917230:RZZ917436 SJV917230:SJV917436 STR917230:STR917436 TDN917230:TDN917436 TNJ917230:TNJ917436 TXF917230:TXF917436 UHB917230:UHB917436 UQX917230:UQX917436 VAT917230:VAT917436 VKP917230:VKP917436 VUL917230:VUL917436 WEH917230:WEH917436 WOD917230:WOD917436 WXZ917230:WXZ917436 BR982766:BS982972 LN982766:LN982972 VJ982766:VJ982972 AFF982766:AFF982972 APB982766:APB982972 AYX982766:AYX982972 BIT982766:BIT982972 BSP982766:BSP982972 CCL982766:CCL982972 CMH982766:CMH982972 CWD982766:CWD982972 DFZ982766:DFZ982972 DPV982766:DPV982972 DZR982766:DZR982972 EJN982766:EJN982972 ETJ982766:ETJ982972 FDF982766:FDF982972 FNB982766:FNB982972 FWX982766:FWX982972 GGT982766:GGT982972 GQP982766:GQP982972 HAL982766:HAL982972 HKH982766:HKH982972 HUD982766:HUD982972 IDZ982766:IDZ982972 INV982766:INV982972 IXR982766:IXR982972 JHN982766:JHN982972 JRJ982766:JRJ982972 KBF982766:KBF982972 KLB982766:KLB982972 KUX982766:KUX982972 LET982766:LET982972 LOP982766:LOP982972 LYL982766:LYL982972 MIH982766:MIH982972 MSD982766:MSD982972 NBZ982766:NBZ982972 NLV982766:NLV982972 NVR982766:NVR982972 OFN982766:OFN982972 OPJ982766:OPJ982972 OZF982766:OZF982972 PJB982766:PJB982972 PSX982766:PSX982972 QCT982766:QCT982972 QMP982766:QMP982972 QWL982766:QWL982972 RGH982766:RGH982972 RQD982766:RQD982972 RZZ982766:RZZ982972 SJV982766:SJV982972 STR982766:STR982972 TDN982766:TDN982972 TNJ982766:TNJ982972 TXF982766:TXF982972 UHB982766:UHB982972 UQX982766:UQX982972 VAT982766:VAT982972 VKP982766:VKP982972 VUL982766:VUL982972 WEH982766:WEH982972 WOD982766:WOD982972 WXZ982766:WXZ982972 BW65262:BW65468 LQ65262:LQ65468 VM65262:VM65468 AFI65262:AFI65468 APE65262:APE65468 AZA65262:AZA65468 BIW65262:BIW65468 BSS65262:BSS65468 CCO65262:CCO65468 CMK65262:CMK65468 CWG65262:CWG65468 DGC65262:DGC65468 DPY65262:DPY65468 DZU65262:DZU65468 EJQ65262:EJQ65468 ETM65262:ETM65468 FDI65262:FDI65468 FNE65262:FNE65468 FXA65262:FXA65468 GGW65262:GGW65468 GQS65262:GQS65468 HAO65262:HAO65468 HKK65262:HKK65468 HUG65262:HUG65468 IEC65262:IEC65468 INY65262:INY65468 IXU65262:IXU65468 JHQ65262:JHQ65468 JRM65262:JRM65468 KBI65262:KBI65468 KLE65262:KLE65468 KVA65262:KVA65468 LEW65262:LEW65468 LOS65262:LOS65468 LYO65262:LYO65468 MIK65262:MIK65468 MSG65262:MSG65468 NCC65262:NCC65468 NLY65262:NLY65468 NVU65262:NVU65468 OFQ65262:OFQ65468 OPM65262:OPM65468 OZI65262:OZI65468 PJE65262:PJE65468 PTA65262:PTA65468 QCW65262:QCW65468 QMS65262:QMS65468 QWO65262:QWO65468 RGK65262:RGK65468 RQG65262:RQG65468 SAC65262:SAC65468 SJY65262:SJY65468 STU65262:STU65468 TDQ65262:TDQ65468 TNM65262:TNM65468 TXI65262:TXI65468 UHE65262:UHE65468 URA65262:URA65468 VAW65262:VAW65468 VKS65262:VKS65468 VUO65262:VUO65468 WEK65262:WEK65468 WOG65262:WOG65468 WYC65262:WYC65468 BW130798:BW131004 LQ130798:LQ131004 VM130798:VM131004 AFI130798:AFI131004 APE130798:APE131004 AZA130798:AZA131004 BIW130798:BIW131004 BSS130798:BSS131004 CCO130798:CCO131004 CMK130798:CMK131004 CWG130798:CWG131004 DGC130798:DGC131004 DPY130798:DPY131004 DZU130798:DZU131004 EJQ130798:EJQ131004 ETM130798:ETM131004 FDI130798:FDI131004 FNE130798:FNE131004 FXA130798:FXA131004 GGW130798:GGW131004 GQS130798:GQS131004 HAO130798:HAO131004 HKK130798:HKK131004 HUG130798:HUG131004 IEC130798:IEC131004 INY130798:INY131004 IXU130798:IXU131004 JHQ130798:JHQ131004 JRM130798:JRM131004 KBI130798:KBI131004 KLE130798:KLE131004 KVA130798:KVA131004 LEW130798:LEW131004 LOS130798:LOS131004 LYO130798:LYO131004 MIK130798:MIK131004 MSG130798:MSG131004 NCC130798:NCC131004 NLY130798:NLY131004 NVU130798:NVU131004 OFQ130798:OFQ131004 OPM130798:OPM131004 OZI130798:OZI131004 PJE130798:PJE131004 PTA130798:PTA131004 QCW130798:QCW131004 QMS130798:QMS131004 QWO130798:QWO131004 RGK130798:RGK131004 RQG130798:RQG131004 SAC130798:SAC131004 SJY130798:SJY131004 STU130798:STU131004 TDQ130798:TDQ131004 TNM130798:TNM131004 TXI130798:TXI131004 UHE130798:UHE131004 URA130798:URA131004 VAW130798:VAW131004 VKS130798:VKS131004 VUO130798:VUO131004 WEK130798:WEK131004 WOG130798:WOG131004 WYC130798:WYC131004 BW196334:BW196540 LQ196334:LQ196540 VM196334:VM196540 AFI196334:AFI196540 APE196334:APE196540 AZA196334:AZA196540 BIW196334:BIW196540 BSS196334:BSS196540 CCO196334:CCO196540 CMK196334:CMK196540 CWG196334:CWG196540 DGC196334:DGC196540 DPY196334:DPY196540 DZU196334:DZU196540 EJQ196334:EJQ196540 ETM196334:ETM196540 FDI196334:FDI196540 FNE196334:FNE196540 FXA196334:FXA196540 GGW196334:GGW196540 GQS196334:GQS196540 HAO196334:HAO196540 HKK196334:HKK196540 HUG196334:HUG196540 IEC196334:IEC196540 INY196334:INY196540 IXU196334:IXU196540 JHQ196334:JHQ196540 JRM196334:JRM196540 KBI196334:KBI196540 KLE196334:KLE196540 KVA196334:KVA196540 LEW196334:LEW196540 LOS196334:LOS196540 LYO196334:LYO196540 MIK196334:MIK196540 MSG196334:MSG196540 NCC196334:NCC196540 NLY196334:NLY196540 NVU196334:NVU196540 OFQ196334:OFQ196540 OPM196334:OPM196540 OZI196334:OZI196540 PJE196334:PJE196540 PTA196334:PTA196540 QCW196334:QCW196540 QMS196334:QMS196540 QWO196334:QWO196540 RGK196334:RGK196540 RQG196334:RQG196540 SAC196334:SAC196540 SJY196334:SJY196540 STU196334:STU196540 TDQ196334:TDQ196540 TNM196334:TNM196540 TXI196334:TXI196540 UHE196334:UHE196540 URA196334:URA196540 VAW196334:VAW196540 VKS196334:VKS196540 VUO196334:VUO196540 WEK196334:WEK196540 WOG196334:WOG196540 WYC196334:WYC196540 BW261870:BW262076 LQ261870:LQ262076 VM261870:VM262076 AFI261870:AFI262076 APE261870:APE262076 AZA261870:AZA262076 BIW261870:BIW262076 BSS261870:BSS262076 CCO261870:CCO262076 CMK261870:CMK262076 CWG261870:CWG262076 DGC261870:DGC262076 DPY261870:DPY262076 DZU261870:DZU262076 EJQ261870:EJQ262076 ETM261870:ETM262076 FDI261870:FDI262076 FNE261870:FNE262076 FXA261870:FXA262076 GGW261870:GGW262076 GQS261870:GQS262076 HAO261870:HAO262076 HKK261870:HKK262076 HUG261870:HUG262076 IEC261870:IEC262076 INY261870:INY262076 IXU261870:IXU262076 JHQ261870:JHQ262076 JRM261870:JRM262076 KBI261870:KBI262076 KLE261870:KLE262076 KVA261870:KVA262076 LEW261870:LEW262076 LOS261870:LOS262076 LYO261870:LYO262076 MIK261870:MIK262076 MSG261870:MSG262076 NCC261870:NCC262076 NLY261870:NLY262076 NVU261870:NVU262076 OFQ261870:OFQ262076 OPM261870:OPM262076 OZI261870:OZI262076 PJE261870:PJE262076 PTA261870:PTA262076 QCW261870:QCW262076 QMS261870:QMS262076 QWO261870:QWO262076 RGK261870:RGK262076 RQG261870:RQG262076 SAC261870:SAC262076 SJY261870:SJY262076 STU261870:STU262076 TDQ261870:TDQ262076 TNM261870:TNM262076 TXI261870:TXI262076 UHE261870:UHE262076 URA261870:URA262076 VAW261870:VAW262076 VKS261870:VKS262076 VUO261870:VUO262076 WEK261870:WEK262076 WOG261870:WOG262076 WYC261870:WYC262076 BW327406:BW327612 LQ327406:LQ327612 VM327406:VM327612 AFI327406:AFI327612 APE327406:APE327612 AZA327406:AZA327612 BIW327406:BIW327612 BSS327406:BSS327612 CCO327406:CCO327612 CMK327406:CMK327612 CWG327406:CWG327612 DGC327406:DGC327612 DPY327406:DPY327612 DZU327406:DZU327612 EJQ327406:EJQ327612 ETM327406:ETM327612 FDI327406:FDI327612 FNE327406:FNE327612 FXA327406:FXA327612 GGW327406:GGW327612 GQS327406:GQS327612 HAO327406:HAO327612 HKK327406:HKK327612 HUG327406:HUG327612 IEC327406:IEC327612 INY327406:INY327612 IXU327406:IXU327612 JHQ327406:JHQ327612 JRM327406:JRM327612 KBI327406:KBI327612 KLE327406:KLE327612 KVA327406:KVA327612 LEW327406:LEW327612 LOS327406:LOS327612 LYO327406:LYO327612 MIK327406:MIK327612 MSG327406:MSG327612 NCC327406:NCC327612 NLY327406:NLY327612 NVU327406:NVU327612 OFQ327406:OFQ327612 OPM327406:OPM327612 OZI327406:OZI327612 PJE327406:PJE327612 PTA327406:PTA327612 QCW327406:QCW327612 QMS327406:QMS327612 QWO327406:QWO327612 RGK327406:RGK327612 RQG327406:RQG327612 SAC327406:SAC327612 SJY327406:SJY327612 STU327406:STU327612 TDQ327406:TDQ327612 TNM327406:TNM327612 TXI327406:TXI327612 UHE327406:UHE327612 URA327406:URA327612 VAW327406:VAW327612 VKS327406:VKS327612 VUO327406:VUO327612 WEK327406:WEK327612 WOG327406:WOG327612 WYC327406:WYC327612 BW392942:BW393148 LQ392942:LQ393148 VM392942:VM393148 AFI392942:AFI393148 APE392942:APE393148 AZA392942:AZA393148 BIW392942:BIW393148 BSS392942:BSS393148 CCO392942:CCO393148 CMK392942:CMK393148 CWG392942:CWG393148 DGC392942:DGC393148 DPY392942:DPY393148 DZU392942:DZU393148 EJQ392942:EJQ393148 ETM392942:ETM393148 FDI392942:FDI393148 FNE392942:FNE393148 FXA392942:FXA393148 GGW392942:GGW393148 GQS392942:GQS393148 HAO392942:HAO393148 HKK392942:HKK393148 HUG392942:HUG393148 IEC392942:IEC393148 INY392942:INY393148 IXU392942:IXU393148 JHQ392942:JHQ393148 JRM392942:JRM393148 KBI392942:KBI393148 KLE392942:KLE393148 KVA392942:KVA393148 LEW392942:LEW393148 LOS392942:LOS393148 LYO392942:LYO393148 MIK392942:MIK393148 MSG392942:MSG393148 NCC392942:NCC393148 NLY392942:NLY393148 NVU392942:NVU393148 OFQ392942:OFQ393148 OPM392942:OPM393148 OZI392942:OZI393148 PJE392942:PJE393148 PTA392942:PTA393148 QCW392942:QCW393148 QMS392942:QMS393148 QWO392942:QWO393148 RGK392942:RGK393148 RQG392942:RQG393148 SAC392942:SAC393148 SJY392942:SJY393148 STU392942:STU393148 TDQ392942:TDQ393148 TNM392942:TNM393148 TXI392942:TXI393148 UHE392942:UHE393148 URA392942:URA393148 VAW392942:VAW393148 VKS392942:VKS393148 VUO392942:VUO393148 WEK392942:WEK393148 WOG392942:WOG393148 WYC392942:WYC393148 BW458478:BW458684 LQ458478:LQ458684 VM458478:VM458684 AFI458478:AFI458684 APE458478:APE458684 AZA458478:AZA458684 BIW458478:BIW458684 BSS458478:BSS458684 CCO458478:CCO458684 CMK458478:CMK458684 CWG458478:CWG458684 DGC458478:DGC458684 DPY458478:DPY458684 DZU458478:DZU458684 EJQ458478:EJQ458684 ETM458478:ETM458684 FDI458478:FDI458684 FNE458478:FNE458684 FXA458478:FXA458684 GGW458478:GGW458684 GQS458478:GQS458684 HAO458478:HAO458684 HKK458478:HKK458684 HUG458478:HUG458684 IEC458478:IEC458684 INY458478:INY458684 IXU458478:IXU458684 JHQ458478:JHQ458684 JRM458478:JRM458684 KBI458478:KBI458684 KLE458478:KLE458684 KVA458478:KVA458684 LEW458478:LEW458684 LOS458478:LOS458684 LYO458478:LYO458684 MIK458478:MIK458684 MSG458478:MSG458684 NCC458478:NCC458684 NLY458478:NLY458684 NVU458478:NVU458684 OFQ458478:OFQ458684 OPM458478:OPM458684 OZI458478:OZI458684 PJE458478:PJE458684 PTA458478:PTA458684 QCW458478:QCW458684 QMS458478:QMS458684 QWO458478:QWO458684 RGK458478:RGK458684 RQG458478:RQG458684 SAC458478:SAC458684 SJY458478:SJY458684 STU458478:STU458684 TDQ458478:TDQ458684 TNM458478:TNM458684 TXI458478:TXI458684 UHE458478:UHE458684 URA458478:URA458684 VAW458478:VAW458684 VKS458478:VKS458684 VUO458478:VUO458684 WEK458478:WEK458684 WOG458478:WOG458684 WYC458478:WYC458684 BW524014:BW524220 LQ524014:LQ524220 VM524014:VM524220 AFI524014:AFI524220 APE524014:APE524220 AZA524014:AZA524220 BIW524014:BIW524220 BSS524014:BSS524220 CCO524014:CCO524220 CMK524014:CMK524220 CWG524014:CWG524220 DGC524014:DGC524220 DPY524014:DPY524220 DZU524014:DZU524220 EJQ524014:EJQ524220 ETM524014:ETM524220 FDI524014:FDI524220 FNE524014:FNE524220 FXA524014:FXA524220 GGW524014:GGW524220 GQS524014:GQS524220 HAO524014:HAO524220 HKK524014:HKK524220 HUG524014:HUG524220 IEC524014:IEC524220 INY524014:INY524220 IXU524014:IXU524220 JHQ524014:JHQ524220 JRM524014:JRM524220 KBI524014:KBI524220 KLE524014:KLE524220 KVA524014:KVA524220 LEW524014:LEW524220 LOS524014:LOS524220 LYO524014:LYO524220 MIK524014:MIK524220 MSG524014:MSG524220 NCC524014:NCC524220 NLY524014:NLY524220 NVU524014:NVU524220 OFQ524014:OFQ524220 OPM524014:OPM524220 OZI524014:OZI524220 PJE524014:PJE524220 PTA524014:PTA524220 QCW524014:QCW524220 QMS524014:QMS524220 QWO524014:QWO524220 RGK524014:RGK524220 RQG524014:RQG524220 SAC524014:SAC524220 SJY524014:SJY524220 STU524014:STU524220 TDQ524014:TDQ524220 TNM524014:TNM524220 TXI524014:TXI524220 UHE524014:UHE524220 URA524014:URA524220 VAW524014:VAW524220 VKS524014:VKS524220 VUO524014:VUO524220 WEK524014:WEK524220 WOG524014:WOG524220 WYC524014:WYC524220 BW589550:BW589756 LQ589550:LQ589756 VM589550:VM589756 AFI589550:AFI589756 APE589550:APE589756 AZA589550:AZA589756 BIW589550:BIW589756 BSS589550:BSS589756 CCO589550:CCO589756 CMK589550:CMK589756 CWG589550:CWG589756 DGC589550:DGC589756 DPY589550:DPY589756 DZU589550:DZU589756 EJQ589550:EJQ589756 ETM589550:ETM589756 FDI589550:FDI589756 FNE589550:FNE589756 FXA589550:FXA589756 GGW589550:GGW589756 GQS589550:GQS589756 HAO589550:HAO589756 HKK589550:HKK589756 HUG589550:HUG589756 IEC589550:IEC589756 INY589550:INY589756 IXU589550:IXU589756 JHQ589550:JHQ589756 JRM589550:JRM589756 KBI589550:KBI589756 KLE589550:KLE589756 KVA589550:KVA589756 LEW589550:LEW589756 LOS589550:LOS589756 LYO589550:LYO589756 MIK589550:MIK589756 MSG589550:MSG589756 NCC589550:NCC589756 NLY589550:NLY589756 NVU589550:NVU589756 OFQ589550:OFQ589756 OPM589550:OPM589756 OZI589550:OZI589756 PJE589550:PJE589756 PTA589550:PTA589756 QCW589550:QCW589756 QMS589550:QMS589756 QWO589550:QWO589756 RGK589550:RGK589756 RQG589550:RQG589756 SAC589550:SAC589756 SJY589550:SJY589756 STU589550:STU589756 TDQ589550:TDQ589756 TNM589550:TNM589756 TXI589550:TXI589756 UHE589550:UHE589756 URA589550:URA589756 VAW589550:VAW589756 VKS589550:VKS589756 VUO589550:VUO589756 WEK589550:WEK589756 WOG589550:WOG589756 WYC589550:WYC589756 BW655086:BW655292 LQ655086:LQ655292 VM655086:VM655292 AFI655086:AFI655292 APE655086:APE655292 AZA655086:AZA655292 BIW655086:BIW655292 BSS655086:BSS655292 CCO655086:CCO655292 CMK655086:CMK655292 CWG655086:CWG655292 DGC655086:DGC655292 DPY655086:DPY655292 DZU655086:DZU655292 EJQ655086:EJQ655292 ETM655086:ETM655292 FDI655086:FDI655292 FNE655086:FNE655292 FXA655086:FXA655292 GGW655086:GGW655292 GQS655086:GQS655292 HAO655086:HAO655292 HKK655086:HKK655292 HUG655086:HUG655292 IEC655086:IEC655292 INY655086:INY655292 IXU655086:IXU655292 JHQ655086:JHQ655292 JRM655086:JRM655292 KBI655086:KBI655292 KLE655086:KLE655292 KVA655086:KVA655292 LEW655086:LEW655292 LOS655086:LOS655292 LYO655086:LYO655292 MIK655086:MIK655292 MSG655086:MSG655292 NCC655086:NCC655292 NLY655086:NLY655292 NVU655086:NVU655292 OFQ655086:OFQ655292 OPM655086:OPM655292 OZI655086:OZI655292 PJE655086:PJE655292 PTA655086:PTA655292 QCW655086:QCW655292 QMS655086:QMS655292 QWO655086:QWO655292 RGK655086:RGK655292 RQG655086:RQG655292 SAC655086:SAC655292 SJY655086:SJY655292 STU655086:STU655292 TDQ655086:TDQ655292 TNM655086:TNM655292 TXI655086:TXI655292 UHE655086:UHE655292 URA655086:URA655292 VAW655086:VAW655292 VKS655086:VKS655292 VUO655086:VUO655292 WEK655086:WEK655292 WOG655086:WOG655292 WYC655086:WYC655292 BW720622:BW720828 LQ720622:LQ720828 VM720622:VM720828 AFI720622:AFI720828 APE720622:APE720828 AZA720622:AZA720828 BIW720622:BIW720828 BSS720622:BSS720828 CCO720622:CCO720828 CMK720622:CMK720828 CWG720622:CWG720828 DGC720622:DGC720828 DPY720622:DPY720828 DZU720622:DZU720828 EJQ720622:EJQ720828 ETM720622:ETM720828 FDI720622:FDI720828 FNE720622:FNE720828 FXA720622:FXA720828 GGW720622:GGW720828 GQS720622:GQS720828 HAO720622:HAO720828 HKK720622:HKK720828 HUG720622:HUG720828 IEC720622:IEC720828 INY720622:INY720828 IXU720622:IXU720828 JHQ720622:JHQ720828 JRM720622:JRM720828 KBI720622:KBI720828 KLE720622:KLE720828 KVA720622:KVA720828 LEW720622:LEW720828 LOS720622:LOS720828 LYO720622:LYO720828 MIK720622:MIK720828 MSG720622:MSG720828 NCC720622:NCC720828 NLY720622:NLY720828 NVU720622:NVU720828 OFQ720622:OFQ720828 OPM720622:OPM720828 OZI720622:OZI720828 PJE720622:PJE720828 PTA720622:PTA720828 QCW720622:QCW720828 QMS720622:QMS720828 QWO720622:QWO720828 RGK720622:RGK720828 RQG720622:RQG720828 SAC720622:SAC720828 SJY720622:SJY720828 STU720622:STU720828 TDQ720622:TDQ720828 TNM720622:TNM720828 TXI720622:TXI720828 UHE720622:UHE720828 URA720622:URA720828 VAW720622:VAW720828 VKS720622:VKS720828 VUO720622:VUO720828 WEK720622:WEK720828 WOG720622:WOG720828 WYC720622:WYC720828 BW786158:BW786364 LQ786158:LQ786364 VM786158:VM786364 AFI786158:AFI786364 APE786158:APE786364 AZA786158:AZA786364 BIW786158:BIW786364 BSS786158:BSS786364 CCO786158:CCO786364 CMK786158:CMK786364 CWG786158:CWG786364 DGC786158:DGC786364 DPY786158:DPY786364 DZU786158:DZU786364 EJQ786158:EJQ786364 ETM786158:ETM786364 FDI786158:FDI786364 FNE786158:FNE786364 FXA786158:FXA786364 GGW786158:GGW786364 GQS786158:GQS786364 HAO786158:HAO786364 HKK786158:HKK786364 HUG786158:HUG786364 IEC786158:IEC786364 INY786158:INY786364 IXU786158:IXU786364 JHQ786158:JHQ786364 JRM786158:JRM786364 KBI786158:KBI786364 KLE786158:KLE786364 KVA786158:KVA786364 LEW786158:LEW786364 LOS786158:LOS786364 LYO786158:LYO786364 MIK786158:MIK786364 MSG786158:MSG786364 NCC786158:NCC786364 NLY786158:NLY786364 NVU786158:NVU786364 OFQ786158:OFQ786364 OPM786158:OPM786364 OZI786158:OZI786364 PJE786158:PJE786364 PTA786158:PTA786364 QCW786158:QCW786364 QMS786158:QMS786364 QWO786158:QWO786364 RGK786158:RGK786364 RQG786158:RQG786364 SAC786158:SAC786364 SJY786158:SJY786364 STU786158:STU786364 TDQ786158:TDQ786364 TNM786158:TNM786364 TXI786158:TXI786364 UHE786158:UHE786364 URA786158:URA786364 VAW786158:VAW786364 VKS786158:VKS786364 VUO786158:VUO786364 WEK786158:WEK786364 WOG786158:WOG786364 WYC786158:WYC786364 BW851694:BW851900 LQ851694:LQ851900 VM851694:VM851900 AFI851694:AFI851900 APE851694:APE851900 AZA851694:AZA851900 BIW851694:BIW851900 BSS851694:BSS851900 CCO851694:CCO851900 CMK851694:CMK851900 CWG851694:CWG851900 DGC851694:DGC851900 DPY851694:DPY851900 DZU851694:DZU851900 EJQ851694:EJQ851900 ETM851694:ETM851900 FDI851694:FDI851900 FNE851694:FNE851900 FXA851694:FXA851900 GGW851694:GGW851900 GQS851694:GQS851900 HAO851694:HAO851900 HKK851694:HKK851900 HUG851694:HUG851900 IEC851694:IEC851900 INY851694:INY851900 IXU851694:IXU851900 JHQ851694:JHQ851900 JRM851694:JRM851900 KBI851694:KBI851900 KLE851694:KLE851900 KVA851694:KVA851900 LEW851694:LEW851900 LOS851694:LOS851900 LYO851694:LYO851900 MIK851694:MIK851900 MSG851694:MSG851900 NCC851694:NCC851900 NLY851694:NLY851900 NVU851694:NVU851900 OFQ851694:OFQ851900 OPM851694:OPM851900 OZI851694:OZI851900 PJE851694:PJE851900 PTA851694:PTA851900 QCW851694:QCW851900 QMS851694:QMS851900 QWO851694:QWO851900 RGK851694:RGK851900 RQG851694:RQG851900 SAC851694:SAC851900 SJY851694:SJY851900 STU851694:STU851900 TDQ851694:TDQ851900 TNM851694:TNM851900 TXI851694:TXI851900 UHE851694:UHE851900 URA851694:URA851900 VAW851694:VAW851900 VKS851694:VKS851900 VUO851694:VUO851900 WEK851694:WEK851900 WOG851694:WOG851900 WYC851694:WYC851900 BW917230:BW917436 LQ917230:LQ917436 VM917230:VM917436 AFI917230:AFI917436 APE917230:APE917436 AZA917230:AZA917436 BIW917230:BIW917436 BSS917230:BSS917436 CCO917230:CCO917436 CMK917230:CMK917436 CWG917230:CWG917436 DGC917230:DGC917436 DPY917230:DPY917436 DZU917230:DZU917436 EJQ917230:EJQ917436 ETM917230:ETM917436 FDI917230:FDI917436 FNE917230:FNE917436 FXA917230:FXA917436 GGW917230:GGW917436 GQS917230:GQS917436 HAO917230:HAO917436 HKK917230:HKK917436 HUG917230:HUG917436 IEC917230:IEC917436 INY917230:INY917436 IXU917230:IXU917436 JHQ917230:JHQ917436 JRM917230:JRM917436 KBI917230:KBI917436 KLE917230:KLE917436 KVA917230:KVA917436 LEW917230:LEW917436 LOS917230:LOS917436 LYO917230:LYO917436 MIK917230:MIK917436 MSG917230:MSG917436 NCC917230:NCC917436 NLY917230:NLY917436 NVU917230:NVU917436 OFQ917230:OFQ917436 OPM917230:OPM917436 OZI917230:OZI917436 PJE917230:PJE917436 PTA917230:PTA917436 QCW917230:QCW917436 QMS917230:QMS917436 QWO917230:QWO917436 RGK917230:RGK917436 RQG917230:RQG917436 SAC917230:SAC917436 SJY917230:SJY917436 STU917230:STU917436 TDQ917230:TDQ917436 TNM917230:TNM917436 TXI917230:TXI917436 UHE917230:UHE917436 URA917230:URA917436 VAW917230:VAW917436 VKS917230:VKS917436 VUO917230:VUO917436 WEK917230:WEK917436 WOG917230:WOG917436 WYC917230:WYC917436 BW982766:BW982972 LQ982766:LQ982972 VM982766:VM982972 AFI982766:AFI982972 APE982766:APE982972 AZA982766:AZA982972 BIW982766:BIW982972 BSS982766:BSS982972 CCO982766:CCO982972 CMK982766:CMK982972 CWG982766:CWG982972 DGC982766:DGC982972 DPY982766:DPY982972 DZU982766:DZU982972 EJQ982766:EJQ982972 ETM982766:ETM982972 FDI982766:FDI982972 FNE982766:FNE982972 FXA982766:FXA982972 GGW982766:GGW982972 GQS982766:GQS982972 HAO982766:HAO982972 HKK982766:HKK982972 HUG982766:HUG982972 IEC982766:IEC982972 INY982766:INY982972 IXU982766:IXU982972 JHQ982766:JHQ982972 JRM982766:JRM982972 KBI982766:KBI982972 KLE982766:KLE982972 KVA982766:KVA982972 LEW982766:LEW982972 LOS982766:LOS982972 LYO982766:LYO982972 MIK982766:MIK982972 MSG982766:MSG982972 NCC982766:NCC982972 NLY982766:NLY982972 NVU982766:NVU982972 OFQ982766:OFQ982972 OPM982766:OPM982972 OZI982766:OZI982972 PJE982766:PJE982972 PTA982766:PTA982972 QCW982766:QCW982972 QMS982766:QMS982972 QWO982766:QWO982972 RGK982766:RGK982972 RQG982766:RQG982972 SAC982766:SAC982972 SJY982766:SJY982972 STU982766:STU982972 TDQ982766:TDQ982972 TNM982766:TNM982972 TXI982766:TXI982972 UHE982766:UHE982972 URA982766:URA982972 VAW982766:VAW982972 VKS982766:VKS982972 VUO982766:VUO982972 WEK982766:WEK982972 WOG982766:WOG982972 WYC982766:WYC982972 BJ65262:BK65468 AT65262:AU65468 AJ982766:AK982972 AJ917230:AK917436 AT982766:AU982972 AJ851694:AK851900 AT917230:AU917436 AJ786158:AK786364 AT851694:AU851900 AJ720622:AK720828 AT786158:AU786364 AJ655086:AK655292 AT720622:AU720828 AJ589550:AK589756 AT655086:AU655292 AJ524014:AK524220 AT589550:AU589756 AJ458478:AK458684 AT524014:AU524220 AJ392942:AK393148 AT458478:AU458684 AJ327406:AK327612 AT392942:AU393148 AJ261870:AK262076 AT327406:AU327612 AJ196334:AK196540 AT261870:AU262076 AJ130798:AK131004 AT196334:AU196540 AT130798:AU131004 BJ982766:BK982972 BJ917230:BK917436 BJ851694:BK851900 BJ786158:BK786364 BJ720622:BK720828 BJ655086:BK655292 BJ589550:BK589756 BJ524014:BK524220 BJ458478:BK458684 BJ392942:BK393148 BJ327406:BK327612 BJ261870:BK262076 BJ196334:BK196540 BJ130798:BK131004 AJ65262:AK65468 AYF5:AYF11 BIB5:BIB11 BRX5:BRX11 CBT5:CBT11 CLP5:CLP11 CVL5:CVL11 DFH5:DFH11 DPD5:DPD11 DYZ5:DYZ11 EIV5:EIV11 ESR5:ESR11 FCN5:FCN11 FMJ5:FMJ11 FWF5:FWF11 GGB5:GGB11 GPX5:GPX11 GZT5:GZT11 HJP5:HJP11 HTL5:HTL11 IDH5:IDH11 IND5:IND11 IWZ5:IWZ11 JGV5:JGV11 JQR5:JQR11 KAN5:KAN11 KKJ5:KKJ11 KUF5:KUF11 LEB5:LEB11 LNX5:LNX11 LXT5:LXT11 MHP5:MHP11 MRL5:MRL11 NBH5:NBH11 NLD5:NLD11 NUZ5:NUZ11 OEV5:OEV11 OOR5:OOR11 OYN5:OYN11 PIJ5:PIJ11 PSF5:PSF11 QCB5:QCB11 QLX5:QLX11 QVT5:QVT11 RFP5:RFP11 RPL5:RPL11 RZH5:RZH11 SJD5:SJD11 SSZ5:SSZ11 TCV5:TCV11 TMR5:TMR11 TWN5:TWN11 UGJ5:UGJ11 UQF5:UQF11 VAB5:VAB11 VJX5:VJX11 VTT5:VTT11 WDP5:WDP11 WNL5:WNL11 WXH5:WXH11 MC5:MC11 VY5:VY11 AFU5:AFU11 APQ5:APQ11 AZM5:AZM11 BJI5:BJI11 BTE5:BTE11 CDA5:CDA11 CMW5:CMW11 CWS5:CWS11 DGO5:DGO11 DQK5:DQK11 EAG5:EAG11 EKC5:EKC11 ETY5:ETY11 FDU5:FDU11 FNQ5:FNQ11 FXM5:FXM11 GHI5:GHI11 GRE5:GRE11 HBA5:HBA11 HKW5:HKW11 HUS5:HUS11 IEO5:IEO11 IOK5:IOK11 IYG5:IYG11 JIC5:JIC11 JRY5:JRY11 KBU5:KBU11 KLQ5:KLQ11 KVM5:KVM11 LFI5:LFI11 LPE5:LPE11 LZA5:LZA11 MIW5:MIW11 MSS5:MSS11 NCO5:NCO11 NMK5:NMK11 NWG5:NWG11 OGC5:OGC11 OPY5:OPY11 OZU5:OZU11 PJQ5:PJQ11 PTM5:PTM11 QDI5:QDI11 QNE5:QNE11 QXA5:QXA11 RGW5:RGW11 RQS5:RQS11 SAO5:SAO11 SKK5:SKK11 SUG5:SUG11 TEC5:TEC11 TNY5:TNY11 TXU5:TXU11 UHQ5:UHQ11 URM5:URM11 VBI5:VBI11 VLE5:VLE11 VVA5:VVA11 WEW5:WEW11 WOS5:WOS11 WYO5:WYO11 LI5:LI11 VE5:VE11 AFA5:AFA11 AOW5:AOW11 AYS5:AYS11 BIO5:BIO11 BSK5:BSK11 CCG5:CCG11 CMC5:CMC11 CVY5:CVY11 DFU5:DFU11 DPQ5:DPQ11 DZM5:DZM11 EJI5:EJI11 ETE5:ETE11 FDA5:FDA11 FMW5:FMW11 FWS5:FWS11 GGO5:GGO11 GQK5:GQK11 HAG5:HAG11 HKC5:HKC11 HTY5:HTY11 IDU5:IDU11 INQ5:INQ11 IXM5:IXM11 JHI5:JHI11 JRE5:JRE11 KBA5:KBA11 KKW5:KKW11 KUS5:KUS11 LEO5:LEO11 LOK5:LOK11 LYG5:LYG11 MIC5:MIC11 MRY5:MRY11 NBU5:NBU11 NLQ5:NLQ11 NVM5:NVM11 OFI5:OFI11 OPE5:OPE11 OZA5:OZA11 PIW5:PIW11 PSS5:PSS11 QCO5:QCO11 QMK5:QMK11 QWG5:QWG11 RGC5:RGC11 RPY5:RPY11 RZU5:RZU11 SJQ5:SJQ11 STM5:STM11 TDI5:TDI11 TNE5:TNE11 TXA5:TXA11 UGW5:UGW11 UQS5:UQS11 VAO5:VAO11 VKK5:VKK11 VUG5:VUG11 WEC5:WEC11 WNY5:WNY11 WXU5:WXU11 LN5:LN11 VJ5:VJ11 AFF5:AFF11 APB5:APB11 AYX5:AYX11 BIT5:BIT11 BSP5:BSP11 CCL5:CCL11 CMH5:CMH11 CWD5:CWD11 DFZ5:DFZ11 DPV5:DPV11 DZR5:DZR11 EJN5:EJN11 ETJ5:ETJ11 FDF5:FDF11 FNB5:FNB11 FWX5:FWX11 GGT5:GGT11 GQP5:GQP11 HAL5:HAL11 HKH5:HKH11 HUD5:HUD11 IDZ5:IDZ11 INV5:INV11 IXR5:IXR11 JHN5:JHN11 JRJ5:JRJ11 KBF5:KBF11 KLB5:KLB11 KUX5:KUX11 LET5:LET11 LOP5:LOP11 LYL5:LYL11 MIH5:MIH11 MSD5:MSD11 NBZ5:NBZ11 NLV5:NLV11 NVR5:NVR11 OFN5:OFN11 OPJ5:OPJ11 OZF5:OZF11 PJB5:PJB11 PSX5:PSX11 QCT5:QCT11 QMP5:QMP11 QWL5:QWL11 RGH5:RGH11 RQD5:RQD11 RZZ5:RZZ11 SJV5:SJV11 STR5:STR11 TDN5:TDN11 TNJ5:TNJ11 TXF5:TXF11 UHB5:UHB11 UQX5:UQX11 VAT5:VAT11 VKP5:VKP11 VUL5:VUL11 WEH5:WEH11 WOD5:WOD11 WXZ5:WXZ11 LQ5:LQ11 VM5:VM11 AFI5:AFI11 APE5:APE11 AZA5:AZA11 BIW5:BIW11 BSS5:BSS11 CCO5:CCO11 CMK5:CMK11 CWG5:CWG11 DGC5:DGC11 DPY5:DPY11 DZU5:DZU11 EJQ5:EJQ11 ETM5:ETM11 FDI5:FDI11 FNE5:FNE11 FXA5:FXA11 GGW5:GGW11 GQS5:GQS11 HAO5:HAO11 HKK5:HKK11 HUG5:HUG11 IEC5:IEC11 INY5:INY11 IXU5:IXU11 JHQ5:JHQ11 JRM5:JRM11 KBI5:KBI11 KLE5:KLE11 KVA5:KVA11 LEW5:LEW11 LOS5:LOS11 LYO5:LYO11 MIK5:MIK11 MSG5:MSG11 NCC5:NCC11 NLY5:NLY11 NVU5:NVU11 OFQ5:OFQ11 OPM5:OPM11 OZI5:OZI11 PJE5:PJE11 PTA5:PTA11 QCW5:QCW11 QMS5:QMS11 QWO5:QWO11 RGK5:RGK11 RQG5:RQG11 SAC5:SAC11 SJY5:SJY11 STU5:STU11 TDQ5:TDQ11 TNM5:TNM11 TXI5:TXI11 UHE5:UHE11 URA5:URA11 VAW5:VAW11 VKS5:VKS11 VUO5:VUO11 WEK5:WEK11 WOG5:WOG11 UR5:UR11 AEN5:AEN11 KV5:KV11 WYC5:WYC11 AOJ5:AOJ11 CK5:CK11 BK5:BK189">
      <formula1>0</formula1>
      <formula2>100</formula2>
    </dataValidation>
    <dataValidation type="list" allowBlank="1" showInputMessage="1" showErrorMessage="1" sqref="BN65262:BN65464 LL5:LL11 VH5:VH11 WNU982766:WNU982968 WDY982766:WDY982968 VUC982766:VUC982968 VKG982766:VKG982968 VAK982766:VAK982968 UQO982766:UQO982968 UGS982766:UGS982968 TWW982766:TWW982968 TNA982766:TNA982968 TDE982766:TDE982968 STI982766:STI982968 SJM982766:SJM982968 RZQ982766:RZQ982968 RPU982766:RPU982968 RFY982766:RFY982968 QWC982766:QWC982968 QMG982766:QMG982968 QCK982766:QCK982968 PSO982766:PSO982968 PIS982766:PIS982968 OYW982766:OYW982968 OPA982766:OPA982968 OFE982766:OFE982968 NVI982766:NVI982968 NLM982766:NLM982968 NBQ982766:NBQ982968 MRU982766:MRU982968 MHY982766:MHY982968 LYC982766:LYC982968 LOG982766:LOG982968 LEK982766:LEK982968 KUO982766:KUO982968 KKS982766:KKS982968 KAW982766:KAW982968 JRA982766:JRA982968 JHE982766:JHE982968 IXI982766:IXI982968 INM982766:INM982968 IDQ982766:IDQ982968 HTU982766:HTU982968 HJY982766:HJY982968 HAC982766:HAC982968 GQG982766:GQG982968 GGK982766:GGK982968 FWO982766:FWO982968 FMS982766:FMS982968 FCW982766:FCW982968 ETA982766:ETA982968 EJE982766:EJE982968 DZI982766:DZI982968 DPM982766:DPM982968 DFQ982766:DFQ982968 CVU982766:CVU982968 CLY982766:CLY982968 CCC982766:CCC982968 BSG982766:BSG982968 BIK982766:BIK982968 AYO982766:AYO982968 AOS982766:AOS982968 AEW982766:AEW982968 VA982766:VA982968 LE982766:LE982968 BB982766:BB982968 WXQ917230:WXQ917432 WNU917230:WNU917432 WDY917230:WDY917432 VUC917230:VUC917432 VKG917230:VKG917432 VAK917230:VAK917432 UQO917230:UQO917432 UGS917230:UGS917432 TWW917230:TWW917432 TNA917230:TNA917432 TDE917230:TDE917432 STI917230:STI917432 SJM917230:SJM917432 RZQ917230:RZQ917432 RPU917230:RPU917432 RFY917230:RFY917432 QWC917230:QWC917432 QMG917230:QMG917432 QCK917230:QCK917432 PSO917230:PSO917432 PIS917230:PIS917432 OYW917230:OYW917432 OPA917230:OPA917432 OFE917230:OFE917432 NVI917230:NVI917432 NLM917230:NLM917432 NBQ917230:NBQ917432 MRU917230:MRU917432 MHY917230:MHY917432 LYC917230:LYC917432 LOG917230:LOG917432 LEK917230:LEK917432 KUO917230:KUO917432 KKS917230:KKS917432 KAW917230:KAW917432 JRA917230:JRA917432 JHE917230:JHE917432 IXI917230:IXI917432 INM917230:INM917432 IDQ917230:IDQ917432 HTU917230:HTU917432 HJY917230:HJY917432 HAC917230:HAC917432 GQG917230:GQG917432 GGK917230:GGK917432 FWO917230:FWO917432 FMS917230:FMS917432 FCW917230:FCW917432 ETA917230:ETA917432 EJE917230:EJE917432 DZI917230:DZI917432 DPM917230:DPM917432 DFQ917230:DFQ917432 CVU917230:CVU917432 CLY917230:CLY917432 CCC917230:CCC917432 BSG917230:BSG917432 BIK917230:BIK917432 AYO917230:AYO917432 AOS917230:AOS917432 AEW917230:AEW917432 VA917230:VA917432 LE917230:LE917432 BB917230:BB917432 WXQ851694:WXQ851896 WNU851694:WNU851896 WDY851694:WDY851896 VUC851694:VUC851896 VKG851694:VKG851896 VAK851694:VAK851896 UQO851694:UQO851896 UGS851694:UGS851896 TWW851694:TWW851896 TNA851694:TNA851896 TDE851694:TDE851896 STI851694:STI851896 SJM851694:SJM851896 RZQ851694:RZQ851896 RPU851694:RPU851896 RFY851694:RFY851896 QWC851694:QWC851896 QMG851694:QMG851896 QCK851694:QCK851896 PSO851694:PSO851896 PIS851694:PIS851896 OYW851694:OYW851896 OPA851694:OPA851896 OFE851694:OFE851896 NVI851694:NVI851896 NLM851694:NLM851896 NBQ851694:NBQ851896 MRU851694:MRU851896 MHY851694:MHY851896 LYC851694:LYC851896 LOG851694:LOG851896 LEK851694:LEK851896 KUO851694:KUO851896 KKS851694:KKS851896 KAW851694:KAW851896 JRA851694:JRA851896 JHE851694:JHE851896 IXI851694:IXI851896 INM851694:INM851896 IDQ851694:IDQ851896 HTU851694:HTU851896 HJY851694:HJY851896 HAC851694:HAC851896 GQG851694:GQG851896 GGK851694:GGK851896 FWO851694:FWO851896 FMS851694:FMS851896 FCW851694:FCW851896 ETA851694:ETA851896 EJE851694:EJE851896 DZI851694:DZI851896 DPM851694:DPM851896 DFQ851694:DFQ851896 CVU851694:CVU851896 CLY851694:CLY851896 CCC851694:CCC851896 BSG851694:BSG851896 BIK851694:BIK851896 AYO851694:AYO851896 AOS851694:AOS851896 AEW851694:AEW851896 VA851694:VA851896 LE851694:LE851896 BB851694:BB851896 WXQ786158:WXQ786360 WNU786158:WNU786360 WDY786158:WDY786360 VUC786158:VUC786360 VKG786158:VKG786360 VAK786158:VAK786360 UQO786158:UQO786360 UGS786158:UGS786360 TWW786158:TWW786360 TNA786158:TNA786360 TDE786158:TDE786360 STI786158:STI786360 SJM786158:SJM786360 RZQ786158:RZQ786360 RPU786158:RPU786360 RFY786158:RFY786360 QWC786158:QWC786360 QMG786158:QMG786360 QCK786158:QCK786360 PSO786158:PSO786360 PIS786158:PIS786360 OYW786158:OYW786360 OPA786158:OPA786360 OFE786158:OFE786360 NVI786158:NVI786360 NLM786158:NLM786360 NBQ786158:NBQ786360 MRU786158:MRU786360 MHY786158:MHY786360 LYC786158:LYC786360 LOG786158:LOG786360 LEK786158:LEK786360 KUO786158:KUO786360 KKS786158:KKS786360 KAW786158:KAW786360 JRA786158:JRA786360 JHE786158:JHE786360 IXI786158:IXI786360 INM786158:INM786360 IDQ786158:IDQ786360 HTU786158:HTU786360 HJY786158:HJY786360 HAC786158:HAC786360 GQG786158:GQG786360 GGK786158:GGK786360 FWO786158:FWO786360 FMS786158:FMS786360 FCW786158:FCW786360 ETA786158:ETA786360 EJE786158:EJE786360 DZI786158:DZI786360 DPM786158:DPM786360 DFQ786158:DFQ786360 CVU786158:CVU786360 CLY786158:CLY786360 CCC786158:CCC786360 BSG786158:BSG786360 BIK786158:BIK786360 AYO786158:AYO786360 AOS786158:AOS786360 AEW786158:AEW786360 VA786158:VA786360 LE786158:LE786360 BB786158:BB786360 WXQ720622:WXQ720824 WNU720622:WNU720824 WDY720622:WDY720824 VUC720622:VUC720824 VKG720622:VKG720824 VAK720622:VAK720824 UQO720622:UQO720824 UGS720622:UGS720824 TWW720622:TWW720824 TNA720622:TNA720824 TDE720622:TDE720824 STI720622:STI720824 SJM720622:SJM720824 RZQ720622:RZQ720824 RPU720622:RPU720824 RFY720622:RFY720824 QWC720622:QWC720824 QMG720622:QMG720824 QCK720622:QCK720824 PSO720622:PSO720824 PIS720622:PIS720824 OYW720622:OYW720824 OPA720622:OPA720824 OFE720622:OFE720824 NVI720622:NVI720824 NLM720622:NLM720824 NBQ720622:NBQ720824 MRU720622:MRU720824 MHY720622:MHY720824 LYC720622:LYC720824 LOG720622:LOG720824 LEK720622:LEK720824 KUO720622:KUO720824 KKS720622:KKS720824 KAW720622:KAW720824 JRA720622:JRA720824 JHE720622:JHE720824 IXI720622:IXI720824 INM720622:INM720824 IDQ720622:IDQ720824 HTU720622:HTU720824 HJY720622:HJY720824 HAC720622:HAC720824 GQG720622:GQG720824 GGK720622:GGK720824 FWO720622:FWO720824 FMS720622:FMS720824 FCW720622:FCW720824 ETA720622:ETA720824 EJE720622:EJE720824 DZI720622:DZI720824 DPM720622:DPM720824 DFQ720622:DFQ720824 CVU720622:CVU720824 CLY720622:CLY720824 CCC720622:CCC720824 BSG720622:BSG720824 BIK720622:BIK720824 AYO720622:AYO720824 AOS720622:AOS720824 AEW720622:AEW720824 VA720622:VA720824 LE720622:LE720824 BB720622:BB720824 WXQ655086:WXQ655288 WNU655086:WNU655288 WDY655086:WDY655288 VUC655086:VUC655288 VKG655086:VKG655288 VAK655086:VAK655288 UQO655086:UQO655288 UGS655086:UGS655288 TWW655086:TWW655288 TNA655086:TNA655288 TDE655086:TDE655288 STI655086:STI655288 SJM655086:SJM655288 RZQ655086:RZQ655288 RPU655086:RPU655288 RFY655086:RFY655288 QWC655086:QWC655288 QMG655086:QMG655288 QCK655086:QCK655288 PSO655086:PSO655288 PIS655086:PIS655288 OYW655086:OYW655288 OPA655086:OPA655288 OFE655086:OFE655288 NVI655086:NVI655288 NLM655086:NLM655288 NBQ655086:NBQ655288 MRU655086:MRU655288 MHY655086:MHY655288 LYC655086:LYC655288 LOG655086:LOG655288 LEK655086:LEK655288 KUO655086:KUO655288 KKS655086:KKS655288 KAW655086:KAW655288 JRA655086:JRA655288 JHE655086:JHE655288 IXI655086:IXI655288 INM655086:INM655288 IDQ655086:IDQ655288 HTU655086:HTU655288 HJY655086:HJY655288 HAC655086:HAC655288 GQG655086:GQG655288 GGK655086:GGK655288 FWO655086:FWO655288 FMS655086:FMS655288 FCW655086:FCW655288 ETA655086:ETA655288 EJE655086:EJE655288 DZI655086:DZI655288 DPM655086:DPM655288 DFQ655086:DFQ655288 CVU655086:CVU655288 CLY655086:CLY655288 CCC655086:CCC655288 BSG655086:BSG655288 BIK655086:BIK655288 AYO655086:AYO655288 AOS655086:AOS655288 AEW655086:AEW655288 VA655086:VA655288 LE655086:LE655288 BB655086:BB655288 WXQ589550:WXQ589752 WNU589550:WNU589752 WDY589550:WDY589752 VUC589550:VUC589752 VKG589550:VKG589752 VAK589550:VAK589752 UQO589550:UQO589752 UGS589550:UGS589752 TWW589550:TWW589752 TNA589550:TNA589752 TDE589550:TDE589752 STI589550:STI589752 SJM589550:SJM589752 RZQ589550:RZQ589752 RPU589550:RPU589752 RFY589550:RFY589752 QWC589550:QWC589752 QMG589550:QMG589752 QCK589550:QCK589752 PSO589550:PSO589752 PIS589550:PIS589752 OYW589550:OYW589752 OPA589550:OPA589752 OFE589550:OFE589752 NVI589550:NVI589752 NLM589550:NLM589752 NBQ589550:NBQ589752 MRU589550:MRU589752 MHY589550:MHY589752 LYC589550:LYC589752 LOG589550:LOG589752 LEK589550:LEK589752 KUO589550:KUO589752 KKS589550:KKS589752 KAW589550:KAW589752 JRA589550:JRA589752 JHE589550:JHE589752 IXI589550:IXI589752 INM589550:INM589752 IDQ589550:IDQ589752 HTU589550:HTU589752 HJY589550:HJY589752 HAC589550:HAC589752 GQG589550:GQG589752 GGK589550:GGK589752 FWO589550:FWO589752 FMS589550:FMS589752 FCW589550:FCW589752 ETA589550:ETA589752 EJE589550:EJE589752 DZI589550:DZI589752 DPM589550:DPM589752 DFQ589550:DFQ589752 CVU589550:CVU589752 CLY589550:CLY589752 CCC589550:CCC589752 BSG589550:BSG589752 BIK589550:BIK589752 AYO589550:AYO589752 AOS589550:AOS589752 AEW589550:AEW589752 VA589550:VA589752 LE589550:LE589752 BB589550:BB589752 WXQ524014:WXQ524216 WNU524014:WNU524216 WDY524014:WDY524216 VUC524014:VUC524216 VKG524014:VKG524216 VAK524014:VAK524216 UQO524014:UQO524216 UGS524014:UGS524216 TWW524014:TWW524216 TNA524014:TNA524216 TDE524014:TDE524216 STI524014:STI524216 SJM524014:SJM524216 RZQ524014:RZQ524216 RPU524014:RPU524216 RFY524014:RFY524216 QWC524014:QWC524216 QMG524014:QMG524216 QCK524014:QCK524216 PSO524014:PSO524216 PIS524014:PIS524216 OYW524014:OYW524216 OPA524014:OPA524216 OFE524014:OFE524216 NVI524014:NVI524216 NLM524014:NLM524216 NBQ524014:NBQ524216 MRU524014:MRU524216 MHY524014:MHY524216 LYC524014:LYC524216 LOG524014:LOG524216 LEK524014:LEK524216 KUO524014:KUO524216 KKS524014:KKS524216 KAW524014:KAW524216 JRA524014:JRA524216 JHE524014:JHE524216 IXI524014:IXI524216 INM524014:INM524216 IDQ524014:IDQ524216 HTU524014:HTU524216 HJY524014:HJY524216 HAC524014:HAC524216 GQG524014:GQG524216 GGK524014:GGK524216 FWO524014:FWO524216 FMS524014:FMS524216 FCW524014:FCW524216 ETA524014:ETA524216 EJE524014:EJE524216 DZI524014:DZI524216 DPM524014:DPM524216 DFQ524014:DFQ524216 CVU524014:CVU524216 CLY524014:CLY524216 CCC524014:CCC524216 BSG524014:BSG524216 BIK524014:BIK524216 AYO524014:AYO524216 AOS524014:AOS524216 AEW524014:AEW524216 VA524014:VA524216 LE524014:LE524216 BB524014:BB524216 WXQ458478:WXQ458680 WNU458478:WNU458680 WDY458478:WDY458680 VUC458478:VUC458680 VKG458478:VKG458680 VAK458478:VAK458680 UQO458478:UQO458680 UGS458478:UGS458680 TWW458478:TWW458680 TNA458478:TNA458680 TDE458478:TDE458680 STI458478:STI458680 SJM458478:SJM458680 RZQ458478:RZQ458680 RPU458478:RPU458680 RFY458478:RFY458680 QWC458478:QWC458680 QMG458478:QMG458680 QCK458478:QCK458680 PSO458478:PSO458680 PIS458478:PIS458680 OYW458478:OYW458680 OPA458478:OPA458680 OFE458478:OFE458680 NVI458478:NVI458680 NLM458478:NLM458680 NBQ458478:NBQ458680 MRU458478:MRU458680 MHY458478:MHY458680 LYC458478:LYC458680 LOG458478:LOG458680 LEK458478:LEK458680 KUO458478:KUO458680 KKS458478:KKS458680 KAW458478:KAW458680 JRA458478:JRA458680 JHE458478:JHE458680 IXI458478:IXI458680 INM458478:INM458680 IDQ458478:IDQ458680 HTU458478:HTU458680 HJY458478:HJY458680 HAC458478:HAC458680 GQG458478:GQG458680 GGK458478:GGK458680 FWO458478:FWO458680 FMS458478:FMS458680 FCW458478:FCW458680 ETA458478:ETA458680 EJE458478:EJE458680 DZI458478:DZI458680 DPM458478:DPM458680 DFQ458478:DFQ458680 CVU458478:CVU458680 CLY458478:CLY458680 CCC458478:CCC458680 BSG458478:BSG458680 BIK458478:BIK458680 AYO458478:AYO458680 AOS458478:AOS458680 AEW458478:AEW458680 VA458478:VA458680 LE458478:LE458680 BB458478:BB458680 WXQ392942:WXQ393144 WNU392942:WNU393144 WDY392942:WDY393144 VUC392942:VUC393144 VKG392942:VKG393144 VAK392942:VAK393144 UQO392942:UQO393144 UGS392942:UGS393144 TWW392942:TWW393144 TNA392942:TNA393144 TDE392942:TDE393144 STI392942:STI393144 SJM392942:SJM393144 RZQ392942:RZQ393144 RPU392942:RPU393144 RFY392942:RFY393144 QWC392942:QWC393144 QMG392942:QMG393144 QCK392942:QCK393144 PSO392942:PSO393144 PIS392942:PIS393144 OYW392942:OYW393144 OPA392942:OPA393144 OFE392942:OFE393144 NVI392942:NVI393144 NLM392942:NLM393144 NBQ392942:NBQ393144 MRU392942:MRU393144 MHY392942:MHY393144 LYC392942:LYC393144 LOG392942:LOG393144 LEK392942:LEK393144 KUO392942:KUO393144 KKS392942:KKS393144 KAW392942:KAW393144 JRA392942:JRA393144 JHE392942:JHE393144 IXI392942:IXI393144 INM392942:INM393144 IDQ392942:IDQ393144 HTU392942:HTU393144 HJY392942:HJY393144 HAC392942:HAC393144 GQG392942:GQG393144 GGK392942:GGK393144 FWO392942:FWO393144 FMS392942:FMS393144 FCW392942:FCW393144 ETA392942:ETA393144 EJE392942:EJE393144 DZI392942:DZI393144 DPM392942:DPM393144 DFQ392942:DFQ393144 CVU392942:CVU393144 CLY392942:CLY393144 CCC392942:CCC393144 BSG392942:BSG393144 BIK392942:BIK393144 AYO392942:AYO393144 AOS392942:AOS393144 AEW392942:AEW393144 VA392942:VA393144 LE392942:LE393144 BB392942:BB393144 WXQ327406:WXQ327608 WNU327406:WNU327608 WDY327406:WDY327608 VUC327406:VUC327608 VKG327406:VKG327608 VAK327406:VAK327608 UQO327406:UQO327608 UGS327406:UGS327608 TWW327406:TWW327608 TNA327406:TNA327608 TDE327406:TDE327608 STI327406:STI327608 SJM327406:SJM327608 RZQ327406:RZQ327608 RPU327406:RPU327608 RFY327406:RFY327608 QWC327406:QWC327608 QMG327406:QMG327608 QCK327406:QCK327608 PSO327406:PSO327608 PIS327406:PIS327608 OYW327406:OYW327608 OPA327406:OPA327608 OFE327406:OFE327608 NVI327406:NVI327608 NLM327406:NLM327608 NBQ327406:NBQ327608 MRU327406:MRU327608 MHY327406:MHY327608 LYC327406:LYC327608 LOG327406:LOG327608 LEK327406:LEK327608 KUO327406:KUO327608 KKS327406:KKS327608 KAW327406:KAW327608 JRA327406:JRA327608 JHE327406:JHE327608 IXI327406:IXI327608 INM327406:INM327608 IDQ327406:IDQ327608 HTU327406:HTU327608 HJY327406:HJY327608 HAC327406:HAC327608 GQG327406:GQG327608 GGK327406:GGK327608 FWO327406:FWO327608 FMS327406:FMS327608 FCW327406:FCW327608 ETA327406:ETA327608 EJE327406:EJE327608 DZI327406:DZI327608 DPM327406:DPM327608 DFQ327406:DFQ327608 CVU327406:CVU327608 CLY327406:CLY327608 CCC327406:CCC327608 BSG327406:BSG327608 BIK327406:BIK327608 AYO327406:AYO327608 AOS327406:AOS327608 AEW327406:AEW327608 VA327406:VA327608 LE327406:LE327608 BB327406:BB327608 WXQ261870:WXQ262072 WNU261870:WNU262072 WDY261870:WDY262072 VUC261870:VUC262072 VKG261870:VKG262072 VAK261870:VAK262072 UQO261870:UQO262072 UGS261870:UGS262072 TWW261870:TWW262072 TNA261870:TNA262072 TDE261870:TDE262072 STI261870:STI262072 SJM261870:SJM262072 RZQ261870:RZQ262072 RPU261870:RPU262072 RFY261870:RFY262072 QWC261870:QWC262072 QMG261870:QMG262072 QCK261870:QCK262072 PSO261870:PSO262072 PIS261870:PIS262072 OYW261870:OYW262072 OPA261870:OPA262072 OFE261870:OFE262072 NVI261870:NVI262072 NLM261870:NLM262072 NBQ261870:NBQ262072 MRU261870:MRU262072 MHY261870:MHY262072 LYC261870:LYC262072 LOG261870:LOG262072 LEK261870:LEK262072 KUO261870:KUO262072 KKS261870:KKS262072 KAW261870:KAW262072 JRA261870:JRA262072 JHE261870:JHE262072 IXI261870:IXI262072 INM261870:INM262072 IDQ261870:IDQ262072 HTU261870:HTU262072 HJY261870:HJY262072 HAC261870:HAC262072 GQG261870:GQG262072 GGK261870:GGK262072 FWO261870:FWO262072 FMS261870:FMS262072 FCW261870:FCW262072 ETA261870:ETA262072 EJE261870:EJE262072 DZI261870:DZI262072 DPM261870:DPM262072 DFQ261870:DFQ262072 CVU261870:CVU262072 CLY261870:CLY262072 CCC261870:CCC262072 BSG261870:BSG262072 BIK261870:BIK262072 AYO261870:AYO262072 AOS261870:AOS262072 AEW261870:AEW262072 VA261870:VA262072 LE261870:LE262072 BB261870:BB262072 WXQ196334:WXQ196536 WNU196334:WNU196536 WDY196334:WDY196536 VUC196334:VUC196536 VKG196334:VKG196536 VAK196334:VAK196536 UQO196334:UQO196536 UGS196334:UGS196536 TWW196334:TWW196536 TNA196334:TNA196536 TDE196334:TDE196536 STI196334:STI196536 SJM196334:SJM196536 RZQ196334:RZQ196536 RPU196334:RPU196536 RFY196334:RFY196536 QWC196334:QWC196536 QMG196334:QMG196536 QCK196334:QCK196536 PSO196334:PSO196536 PIS196334:PIS196536 OYW196334:OYW196536 OPA196334:OPA196536 OFE196334:OFE196536 NVI196334:NVI196536 NLM196334:NLM196536 NBQ196334:NBQ196536 MRU196334:MRU196536 MHY196334:MHY196536 LYC196334:LYC196536 LOG196334:LOG196536 LEK196334:LEK196536 KUO196334:KUO196536 KKS196334:KKS196536 KAW196334:KAW196536 JRA196334:JRA196536 JHE196334:JHE196536 IXI196334:IXI196536 INM196334:INM196536 IDQ196334:IDQ196536 HTU196334:HTU196536 HJY196334:HJY196536 HAC196334:HAC196536 GQG196334:GQG196536 GGK196334:GGK196536 FWO196334:FWO196536 FMS196334:FMS196536 FCW196334:FCW196536 ETA196334:ETA196536 EJE196334:EJE196536 DZI196334:DZI196536 DPM196334:DPM196536 DFQ196334:DFQ196536 CVU196334:CVU196536 CLY196334:CLY196536 CCC196334:CCC196536 BSG196334:BSG196536 BIK196334:BIK196536 AYO196334:AYO196536 AOS196334:AOS196536 AEW196334:AEW196536 VA196334:VA196536 LE196334:LE196536 BB196334:BB196536 WXQ130798:WXQ131000 WNU130798:WNU131000 WDY130798:WDY131000 VUC130798:VUC131000 VKG130798:VKG131000 VAK130798:VAK131000 UQO130798:UQO131000 UGS130798:UGS131000 TWW130798:TWW131000 TNA130798:TNA131000 TDE130798:TDE131000 STI130798:STI131000 SJM130798:SJM131000 RZQ130798:RZQ131000 RPU130798:RPU131000 RFY130798:RFY131000 QWC130798:QWC131000 QMG130798:QMG131000 QCK130798:QCK131000 PSO130798:PSO131000 PIS130798:PIS131000 OYW130798:OYW131000 OPA130798:OPA131000 OFE130798:OFE131000 NVI130798:NVI131000 NLM130798:NLM131000 NBQ130798:NBQ131000 MRU130798:MRU131000 MHY130798:MHY131000 LYC130798:LYC131000 LOG130798:LOG131000 LEK130798:LEK131000 KUO130798:KUO131000 KKS130798:KKS131000 KAW130798:KAW131000 JRA130798:JRA131000 JHE130798:JHE131000 IXI130798:IXI131000 INM130798:INM131000 IDQ130798:IDQ131000 HTU130798:HTU131000 HJY130798:HJY131000 HAC130798:HAC131000 GQG130798:GQG131000 GGK130798:GGK131000 FWO130798:FWO131000 FMS130798:FMS131000 FCW130798:FCW131000 ETA130798:ETA131000 EJE130798:EJE131000 DZI130798:DZI131000 DPM130798:DPM131000 DFQ130798:DFQ131000 CVU130798:CVU131000 CLY130798:CLY131000 CCC130798:CCC131000 BSG130798:BSG131000 BIK130798:BIK131000 AYO130798:AYO131000 AOS130798:AOS131000 AEW130798:AEW131000 VA130798:VA131000 LE130798:LE131000 BB130798:BB131000 WXQ65262:WXQ65464 WNU65262:WNU65464 WDY65262:WDY65464 VUC65262:VUC65464 VKG65262:VKG65464 VAK65262:VAK65464 UQO65262:UQO65464 UGS65262:UGS65464 TWW65262:TWW65464 TNA65262:TNA65464 TDE65262:TDE65464 STI65262:STI65464 SJM65262:SJM65464 RZQ65262:RZQ65464 RPU65262:RPU65464 RFY65262:RFY65464 QWC65262:QWC65464 QMG65262:QMG65464 QCK65262:QCK65464 PSO65262:PSO65464 PIS65262:PIS65464 OYW65262:OYW65464 OPA65262:OPA65464 OFE65262:OFE65464 NVI65262:NVI65464 NLM65262:NLM65464 NBQ65262:NBQ65464 MRU65262:MRU65464 MHY65262:MHY65464 LYC65262:LYC65464 LOG65262:LOG65464 LEK65262:LEK65464 KUO65262:KUO65464 KKS65262:KKS65464 KAW65262:KAW65464 JRA65262:JRA65464 JHE65262:JHE65464 IXI65262:IXI65464 INM65262:INM65464 IDQ65262:IDQ65464 HTU65262:HTU65464 HJY65262:HJY65464 HAC65262:HAC65464 GQG65262:GQG65464 GGK65262:GGK65464 FWO65262:FWO65464 FMS65262:FMS65464 FCW65262:FCW65464 ETA65262:ETA65464 EJE65262:EJE65464 DZI65262:DZI65464 DPM65262:DPM65464 DFQ65262:DFQ65464 CVU65262:CVU65464 CLY65262:CLY65464 CCC65262:CCC65464 BSG65262:BSG65464 BIK65262:BIK65464 AYO65262:AYO65464 AOS65262:AOS65464 AEW65262:AEW65464 VA65262:VA65464 LE65262:LE65464 BB65262:BB65464 WXQ5:WXQ11 WNU5:WNU11 WDY5:WDY11 VUC5:VUC11 VKG5:VKG11 VAK5:VAK11 UQO5:UQO11 UGS5:UGS11 TWW5:TWW11 TNA5:TNA11 TDE5:TDE11 STI5:STI11 SJM5:SJM11 RZQ5:RZQ11 RPU5:RPU11 RFY5:RFY11 QWC5:QWC11 QMG5:QMG11 QCK5:QCK11 PSO5:PSO11 PIS5:PIS11 OYW5:OYW11 OPA5:OPA11 OFE5:OFE11 NVI5:NVI11 NLM5:NLM11 NBQ5:NBQ11 MRU5:MRU11 MHY5:MHY11 LYC5:LYC11 LOG5:LOG11 LEK5:LEK11 KUO5:KUO11 KKS5:KKS11 KAW5:KAW11 JRA5:JRA11 JHE5:JHE11 IXI5:IXI11 INM5:INM11 IDQ5:IDQ11 HTU5:HTU11 HJY5:HJY11 HAC5:HAC11 GQG5:GQG11 GGK5:GGK11 FWO5:FWO11 FMS5:FMS11 FCW5:FCW11 ETA5:ETA11 EJE5:EJE11 DZI5:DZI11 DPM5:DPM11 DFQ5:DFQ11 CVU5:CVU11 CLY5:CLY11 CCC5:CCC11 BSG5:BSG11 BIK5:BIK11 AYO5:AYO11 AOS5:AOS11 AEW5:AEW11 VA5:VA11 LE5:LE11 WXQ982766:WXQ982968 WXX982766:WXX982968 WOB982766:WOB982968 WEF982766:WEF982968 VUJ982766:VUJ982968 VKN982766:VKN982968 VAR982766:VAR982968 UQV982766:UQV982968 UGZ982766:UGZ982968 TXD982766:TXD982968 TNH982766:TNH982968 TDL982766:TDL982968 STP982766:STP982968 SJT982766:SJT982968 RZX982766:RZX982968 RQB982766:RQB982968 RGF982766:RGF982968 QWJ982766:QWJ982968 QMN982766:QMN982968 QCR982766:QCR982968 PSV982766:PSV982968 PIZ982766:PIZ982968 OZD982766:OZD982968 OPH982766:OPH982968 OFL982766:OFL982968 NVP982766:NVP982968 NLT982766:NLT982968 NBX982766:NBX982968 MSB982766:MSB982968 MIF982766:MIF982968 LYJ982766:LYJ982968 LON982766:LON982968 LER982766:LER982968 KUV982766:KUV982968 KKZ982766:KKZ982968 KBD982766:KBD982968 JRH982766:JRH982968 JHL982766:JHL982968 IXP982766:IXP982968 INT982766:INT982968 IDX982766:IDX982968 HUB982766:HUB982968 HKF982766:HKF982968 HAJ982766:HAJ982968 GQN982766:GQN982968 GGR982766:GGR982968 FWV982766:FWV982968 FMZ982766:FMZ982968 FDD982766:FDD982968 ETH982766:ETH982968 EJL982766:EJL982968 DZP982766:DZP982968 DPT982766:DPT982968 DFX982766:DFX982968 CWB982766:CWB982968 CMF982766:CMF982968 CCJ982766:CCJ982968 BSN982766:BSN982968 BIR982766:BIR982968 AYV982766:AYV982968 AOZ982766:AOZ982968 AFD982766:AFD982968 VH982766:VH982968 LL982766:LL982968 BN982766:BN982968 WXX917230:WXX917432 WOB917230:WOB917432 WEF917230:WEF917432 VUJ917230:VUJ917432 VKN917230:VKN917432 VAR917230:VAR917432 UQV917230:UQV917432 UGZ917230:UGZ917432 TXD917230:TXD917432 TNH917230:TNH917432 TDL917230:TDL917432 STP917230:STP917432 SJT917230:SJT917432 RZX917230:RZX917432 RQB917230:RQB917432 RGF917230:RGF917432 QWJ917230:QWJ917432 QMN917230:QMN917432 QCR917230:QCR917432 PSV917230:PSV917432 PIZ917230:PIZ917432 OZD917230:OZD917432 OPH917230:OPH917432 OFL917230:OFL917432 NVP917230:NVP917432 NLT917230:NLT917432 NBX917230:NBX917432 MSB917230:MSB917432 MIF917230:MIF917432 LYJ917230:LYJ917432 LON917230:LON917432 LER917230:LER917432 KUV917230:KUV917432 KKZ917230:KKZ917432 KBD917230:KBD917432 JRH917230:JRH917432 JHL917230:JHL917432 IXP917230:IXP917432 INT917230:INT917432 IDX917230:IDX917432 HUB917230:HUB917432 HKF917230:HKF917432 HAJ917230:HAJ917432 GQN917230:GQN917432 GGR917230:GGR917432 FWV917230:FWV917432 FMZ917230:FMZ917432 FDD917230:FDD917432 ETH917230:ETH917432 EJL917230:EJL917432 DZP917230:DZP917432 DPT917230:DPT917432 DFX917230:DFX917432 CWB917230:CWB917432 CMF917230:CMF917432 CCJ917230:CCJ917432 BSN917230:BSN917432 BIR917230:BIR917432 AYV917230:AYV917432 AOZ917230:AOZ917432 AFD917230:AFD917432 VH917230:VH917432 LL917230:LL917432 BN917230:BN917432 WXX851694:WXX851896 WOB851694:WOB851896 WEF851694:WEF851896 VUJ851694:VUJ851896 VKN851694:VKN851896 VAR851694:VAR851896 UQV851694:UQV851896 UGZ851694:UGZ851896 TXD851694:TXD851896 TNH851694:TNH851896 TDL851694:TDL851896 STP851694:STP851896 SJT851694:SJT851896 RZX851694:RZX851896 RQB851694:RQB851896 RGF851694:RGF851896 QWJ851694:QWJ851896 QMN851694:QMN851896 QCR851694:QCR851896 PSV851694:PSV851896 PIZ851694:PIZ851896 OZD851694:OZD851896 OPH851694:OPH851896 OFL851694:OFL851896 NVP851694:NVP851896 NLT851694:NLT851896 NBX851694:NBX851896 MSB851694:MSB851896 MIF851694:MIF851896 LYJ851694:LYJ851896 LON851694:LON851896 LER851694:LER851896 KUV851694:KUV851896 KKZ851694:KKZ851896 KBD851694:KBD851896 JRH851694:JRH851896 JHL851694:JHL851896 IXP851694:IXP851896 INT851694:INT851896 IDX851694:IDX851896 HUB851694:HUB851896 HKF851694:HKF851896 HAJ851694:HAJ851896 GQN851694:GQN851896 GGR851694:GGR851896 FWV851694:FWV851896 FMZ851694:FMZ851896 FDD851694:FDD851896 ETH851694:ETH851896 EJL851694:EJL851896 DZP851694:DZP851896 DPT851694:DPT851896 DFX851694:DFX851896 CWB851694:CWB851896 CMF851694:CMF851896 CCJ851694:CCJ851896 BSN851694:BSN851896 BIR851694:BIR851896 AYV851694:AYV851896 AOZ851694:AOZ851896 AFD851694:AFD851896 VH851694:VH851896 LL851694:LL851896 BN851694:BN851896 WXX786158:WXX786360 WOB786158:WOB786360 WEF786158:WEF786360 VUJ786158:VUJ786360 VKN786158:VKN786360 VAR786158:VAR786360 UQV786158:UQV786360 UGZ786158:UGZ786360 TXD786158:TXD786360 TNH786158:TNH786360 TDL786158:TDL786360 STP786158:STP786360 SJT786158:SJT786360 RZX786158:RZX786360 RQB786158:RQB786360 RGF786158:RGF786360 QWJ786158:QWJ786360 QMN786158:QMN786360 QCR786158:QCR786360 PSV786158:PSV786360 PIZ786158:PIZ786360 OZD786158:OZD786360 OPH786158:OPH786360 OFL786158:OFL786360 NVP786158:NVP786360 NLT786158:NLT786360 NBX786158:NBX786360 MSB786158:MSB786360 MIF786158:MIF786360 LYJ786158:LYJ786360 LON786158:LON786360 LER786158:LER786360 KUV786158:KUV786360 KKZ786158:KKZ786360 KBD786158:KBD786360 JRH786158:JRH786360 JHL786158:JHL786360 IXP786158:IXP786360 INT786158:INT786360 IDX786158:IDX786360 HUB786158:HUB786360 HKF786158:HKF786360 HAJ786158:HAJ786360 GQN786158:GQN786360 GGR786158:GGR786360 FWV786158:FWV786360 FMZ786158:FMZ786360 FDD786158:FDD786360 ETH786158:ETH786360 EJL786158:EJL786360 DZP786158:DZP786360 DPT786158:DPT786360 DFX786158:DFX786360 CWB786158:CWB786360 CMF786158:CMF786360 CCJ786158:CCJ786360 BSN786158:BSN786360 BIR786158:BIR786360 AYV786158:AYV786360 AOZ786158:AOZ786360 AFD786158:AFD786360 VH786158:VH786360 LL786158:LL786360 BN786158:BN786360 WXX720622:WXX720824 WOB720622:WOB720824 WEF720622:WEF720824 VUJ720622:VUJ720824 VKN720622:VKN720824 VAR720622:VAR720824 UQV720622:UQV720824 UGZ720622:UGZ720824 TXD720622:TXD720824 TNH720622:TNH720824 TDL720622:TDL720824 STP720622:STP720824 SJT720622:SJT720824 RZX720622:RZX720824 RQB720622:RQB720824 RGF720622:RGF720824 QWJ720622:QWJ720824 QMN720622:QMN720824 QCR720622:QCR720824 PSV720622:PSV720824 PIZ720622:PIZ720824 OZD720622:OZD720824 OPH720622:OPH720824 OFL720622:OFL720824 NVP720622:NVP720824 NLT720622:NLT720824 NBX720622:NBX720824 MSB720622:MSB720824 MIF720622:MIF720824 LYJ720622:LYJ720824 LON720622:LON720824 LER720622:LER720824 KUV720622:KUV720824 KKZ720622:KKZ720824 KBD720622:KBD720824 JRH720622:JRH720824 JHL720622:JHL720824 IXP720622:IXP720824 INT720622:INT720824 IDX720622:IDX720824 HUB720622:HUB720824 HKF720622:HKF720824 HAJ720622:HAJ720824 GQN720622:GQN720824 GGR720622:GGR720824 FWV720622:FWV720824 FMZ720622:FMZ720824 FDD720622:FDD720824 ETH720622:ETH720824 EJL720622:EJL720824 DZP720622:DZP720824 DPT720622:DPT720824 DFX720622:DFX720824 CWB720622:CWB720824 CMF720622:CMF720824 CCJ720622:CCJ720824 BSN720622:BSN720824 BIR720622:BIR720824 AYV720622:AYV720824 AOZ720622:AOZ720824 AFD720622:AFD720824 VH720622:VH720824 LL720622:LL720824 BN720622:BN720824 WXX655086:WXX655288 WOB655086:WOB655288 WEF655086:WEF655288 VUJ655086:VUJ655288 VKN655086:VKN655288 VAR655086:VAR655288 UQV655086:UQV655288 UGZ655086:UGZ655288 TXD655086:TXD655288 TNH655086:TNH655288 TDL655086:TDL655288 STP655086:STP655288 SJT655086:SJT655288 RZX655086:RZX655288 RQB655086:RQB655288 RGF655086:RGF655288 QWJ655086:QWJ655288 QMN655086:QMN655288 QCR655086:QCR655288 PSV655086:PSV655288 PIZ655086:PIZ655288 OZD655086:OZD655288 OPH655086:OPH655288 OFL655086:OFL655288 NVP655086:NVP655288 NLT655086:NLT655288 NBX655086:NBX655288 MSB655086:MSB655288 MIF655086:MIF655288 LYJ655086:LYJ655288 LON655086:LON655288 LER655086:LER655288 KUV655086:KUV655288 KKZ655086:KKZ655288 KBD655086:KBD655288 JRH655086:JRH655288 JHL655086:JHL655288 IXP655086:IXP655288 INT655086:INT655288 IDX655086:IDX655288 HUB655086:HUB655288 HKF655086:HKF655288 HAJ655086:HAJ655288 GQN655086:GQN655288 GGR655086:GGR655288 FWV655086:FWV655288 FMZ655086:FMZ655288 FDD655086:FDD655288 ETH655086:ETH655288 EJL655086:EJL655288 DZP655086:DZP655288 DPT655086:DPT655288 DFX655086:DFX655288 CWB655086:CWB655288 CMF655086:CMF655288 CCJ655086:CCJ655288 BSN655086:BSN655288 BIR655086:BIR655288 AYV655086:AYV655288 AOZ655086:AOZ655288 AFD655086:AFD655288 VH655086:VH655288 LL655086:LL655288 BN655086:BN655288 WXX589550:WXX589752 WOB589550:WOB589752 WEF589550:WEF589752 VUJ589550:VUJ589752 VKN589550:VKN589752 VAR589550:VAR589752 UQV589550:UQV589752 UGZ589550:UGZ589752 TXD589550:TXD589752 TNH589550:TNH589752 TDL589550:TDL589752 STP589550:STP589752 SJT589550:SJT589752 RZX589550:RZX589752 RQB589550:RQB589752 RGF589550:RGF589752 QWJ589550:QWJ589752 QMN589550:QMN589752 QCR589550:QCR589752 PSV589550:PSV589752 PIZ589550:PIZ589752 OZD589550:OZD589752 OPH589550:OPH589752 OFL589550:OFL589752 NVP589550:NVP589752 NLT589550:NLT589752 NBX589550:NBX589752 MSB589550:MSB589752 MIF589550:MIF589752 LYJ589550:LYJ589752 LON589550:LON589752 LER589550:LER589752 KUV589550:KUV589752 KKZ589550:KKZ589752 KBD589550:KBD589752 JRH589550:JRH589752 JHL589550:JHL589752 IXP589550:IXP589752 INT589550:INT589752 IDX589550:IDX589752 HUB589550:HUB589752 HKF589550:HKF589752 HAJ589550:HAJ589752 GQN589550:GQN589752 GGR589550:GGR589752 FWV589550:FWV589752 FMZ589550:FMZ589752 FDD589550:FDD589752 ETH589550:ETH589752 EJL589550:EJL589752 DZP589550:DZP589752 DPT589550:DPT589752 DFX589550:DFX589752 CWB589550:CWB589752 CMF589550:CMF589752 CCJ589550:CCJ589752 BSN589550:BSN589752 BIR589550:BIR589752 AYV589550:AYV589752 AOZ589550:AOZ589752 AFD589550:AFD589752 VH589550:VH589752 LL589550:LL589752 BN589550:BN589752 WXX524014:WXX524216 WOB524014:WOB524216 WEF524014:WEF524216 VUJ524014:VUJ524216 VKN524014:VKN524216 VAR524014:VAR524216 UQV524014:UQV524216 UGZ524014:UGZ524216 TXD524014:TXD524216 TNH524014:TNH524216 TDL524014:TDL524216 STP524014:STP524216 SJT524014:SJT524216 RZX524014:RZX524216 RQB524014:RQB524216 RGF524014:RGF524216 QWJ524014:QWJ524216 QMN524014:QMN524216 QCR524014:QCR524216 PSV524014:PSV524216 PIZ524014:PIZ524216 OZD524014:OZD524216 OPH524014:OPH524216 OFL524014:OFL524216 NVP524014:NVP524216 NLT524014:NLT524216 NBX524014:NBX524216 MSB524014:MSB524216 MIF524014:MIF524216 LYJ524014:LYJ524216 LON524014:LON524216 LER524014:LER524216 KUV524014:KUV524216 KKZ524014:KKZ524216 KBD524014:KBD524216 JRH524014:JRH524216 JHL524014:JHL524216 IXP524014:IXP524216 INT524014:INT524216 IDX524014:IDX524216 HUB524014:HUB524216 HKF524014:HKF524216 HAJ524014:HAJ524216 GQN524014:GQN524216 GGR524014:GGR524216 FWV524014:FWV524216 FMZ524014:FMZ524216 FDD524014:FDD524216 ETH524014:ETH524216 EJL524014:EJL524216 DZP524014:DZP524216 DPT524014:DPT524216 DFX524014:DFX524216 CWB524014:CWB524216 CMF524014:CMF524216 CCJ524014:CCJ524216 BSN524014:BSN524216 BIR524014:BIR524216 AYV524014:AYV524216 AOZ524014:AOZ524216 AFD524014:AFD524216 VH524014:VH524216 LL524014:LL524216 BN524014:BN524216 WXX458478:WXX458680 WOB458478:WOB458680 WEF458478:WEF458680 VUJ458478:VUJ458680 VKN458478:VKN458680 VAR458478:VAR458680 UQV458478:UQV458680 UGZ458478:UGZ458680 TXD458478:TXD458680 TNH458478:TNH458680 TDL458478:TDL458680 STP458478:STP458680 SJT458478:SJT458680 RZX458478:RZX458680 RQB458478:RQB458680 RGF458478:RGF458680 QWJ458478:QWJ458680 QMN458478:QMN458680 QCR458478:QCR458680 PSV458478:PSV458680 PIZ458478:PIZ458680 OZD458478:OZD458680 OPH458478:OPH458680 OFL458478:OFL458680 NVP458478:NVP458680 NLT458478:NLT458680 NBX458478:NBX458680 MSB458478:MSB458680 MIF458478:MIF458680 LYJ458478:LYJ458680 LON458478:LON458680 LER458478:LER458680 KUV458478:KUV458680 KKZ458478:KKZ458680 KBD458478:KBD458680 JRH458478:JRH458680 JHL458478:JHL458680 IXP458478:IXP458680 INT458478:INT458680 IDX458478:IDX458680 HUB458478:HUB458680 HKF458478:HKF458680 HAJ458478:HAJ458680 GQN458478:GQN458680 GGR458478:GGR458680 FWV458478:FWV458680 FMZ458478:FMZ458680 FDD458478:FDD458680 ETH458478:ETH458680 EJL458478:EJL458680 DZP458478:DZP458680 DPT458478:DPT458680 DFX458478:DFX458680 CWB458478:CWB458680 CMF458478:CMF458680 CCJ458478:CCJ458680 BSN458478:BSN458680 BIR458478:BIR458680 AYV458478:AYV458680 AOZ458478:AOZ458680 AFD458478:AFD458680 VH458478:VH458680 LL458478:LL458680 BN458478:BN458680 WXX392942:WXX393144 WOB392942:WOB393144 WEF392942:WEF393144 VUJ392942:VUJ393144 VKN392942:VKN393144 VAR392942:VAR393144 UQV392942:UQV393144 UGZ392942:UGZ393144 TXD392942:TXD393144 TNH392942:TNH393144 TDL392942:TDL393144 STP392942:STP393144 SJT392942:SJT393144 RZX392942:RZX393144 RQB392942:RQB393144 RGF392942:RGF393144 QWJ392942:QWJ393144 QMN392942:QMN393144 QCR392942:QCR393144 PSV392942:PSV393144 PIZ392942:PIZ393144 OZD392942:OZD393144 OPH392942:OPH393144 OFL392942:OFL393144 NVP392942:NVP393144 NLT392942:NLT393144 NBX392942:NBX393144 MSB392942:MSB393144 MIF392942:MIF393144 LYJ392942:LYJ393144 LON392942:LON393144 LER392942:LER393144 KUV392942:KUV393144 KKZ392942:KKZ393144 KBD392942:KBD393144 JRH392942:JRH393144 JHL392942:JHL393144 IXP392942:IXP393144 INT392942:INT393144 IDX392942:IDX393144 HUB392942:HUB393144 HKF392942:HKF393144 HAJ392942:HAJ393144 GQN392942:GQN393144 GGR392942:GGR393144 FWV392942:FWV393144 FMZ392942:FMZ393144 FDD392942:FDD393144 ETH392942:ETH393144 EJL392942:EJL393144 DZP392942:DZP393144 DPT392942:DPT393144 DFX392942:DFX393144 CWB392942:CWB393144 CMF392942:CMF393144 CCJ392942:CCJ393144 BSN392942:BSN393144 BIR392942:BIR393144 AYV392942:AYV393144 AOZ392942:AOZ393144 AFD392942:AFD393144 VH392942:VH393144 LL392942:LL393144 BN392942:BN393144 WXX327406:WXX327608 WOB327406:WOB327608 WEF327406:WEF327608 VUJ327406:VUJ327608 VKN327406:VKN327608 VAR327406:VAR327608 UQV327406:UQV327608 UGZ327406:UGZ327608 TXD327406:TXD327608 TNH327406:TNH327608 TDL327406:TDL327608 STP327406:STP327608 SJT327406:SJT327608 RZX327406:RZX327608 RQB327406:RQB327608 RGF327406:RGF327608 QWJ327406:QWJ327608 QMN327406:QMN327608 QCR327406:QCR327608 PSV327406:PSV327608 PIZ327406:PIZ327608 OZD327406:OZD327608 OPH327406:OPH327608 OFL327406:OFL327608 NVP327406:NVP327608 NLT327406:NLT327608 NBX327406:NBX327608 MSB327406:MSB327608 MIF327406:MIF327608 LYJ327406:LYJ327608 LON327406:LON327608 LER327406:LER327608 KUV327406:KUV327608 KKZ327406:KKZ327608 KBD327406:KBD327608 JRH327406:JRH327608 JHL327406:JHL327608 IXP327406:IXP327608 INT327406:INT327608 IDX327406:IDX327608 HUB327406:HUB327608 HKF327406:HKF327608 HAJ327406:HAJ327608 GQN327406:GQN327608 GGR327406:GGR327608 FWV327406:FWV327608 FMZ327406:FMZ327608 FDD327406:FDD327608 ETH327406:ETH327608 EJL327406:EJL327608 DZP327406:DZP327608 DPT327406:DPT327608 DFX327406:DFX327608 CWB327406:CWB327608 CMF327406:CMF327608 CCJ327406:CCJ327608 BSN327406:BSN327608 BIR327406:BIR327608 AYV327406:AYV327608 AOZ327406:AOZ327608 AFD327406:AFD327608 VH327406:VH327608 LL327406:LL327608 BN327406:BN327608 WXX261870:WXX262072 WOB261870:WOB262072 WEF261870:WEF262072 VUJ261870:VUJ262072 VKN261870:VKN262072 VAR261870:VAR262072 UQV261870:UQV262072 UGZ261870:UGZ262072 TXD261870:TXD262072 TNH261870:TNH262072 TDL261870:TDL262072 STP261870:STP262072 SJT261870:SJT262072 RZX261870:RZX262072 RQB261870:RQB262072 RGF261870:RGF262072 QWJ261870:QWJ262072 QMN261870:QMN262072 QCR261870:QCR262072 PSV261870:PSV262072 PIZ261870:PIZ262072 OZD261870:OZD262072 OPH261870:OPH262072 OFL261870:OFL262072 NVP261870:NVP262072 NLT261870:NLT262072 NBX261870:NBX262072 MSB261870:MSB262072 MIF261870:MIF262072 LYJ261870:LYJ262072 LON261870:LON262072 LER261870:LER262072 KUV261870:KUV262072 KKZ261870:KKZ262072 KBD261870:KBD262072 JRH261870:JRH262072 JHL261870:JHL262072 IXP261870:IXP262072 INT261870:INT262072 IDX261870:IDX262072 HUB261870:HUB262072 HKF261870:HKF262072 HAJ261870:HAJ262072 GQN261870:GQN262072 GGR261870:GGR262072 FWV261870:FWV262072 FMZ261870:FMZ262072 FDD261870:FDD262072 ETH261870:ETH262072 EJL261870:EJL262072 DZP261870:DZP262072 DPT261870:DPT262072 DFX261870:DFX262072 CWB261870:CWB262072 CMF261870:CMF262072 CCJ261870:CCJ262072 BSN261870:BSN262072 BIR261870:BIR262072 AYV261870:AYV262072 AOZ261870:AOZ262072 AFD261870:AFD262072 VH261870:VH262072 LL261870:LL262072 BN261870:BN262072 WXX196334:WXX196536 WOB196334:WOB196536 WEF196334:WEF196536 VUJ196334:VUJ196536 VKN196334:VKN196536 VAR196334:VAR196536 UQV196334:UQV196536 UGZ196334:UGZ196536 TXD196334:TXD196536 TNH196334:TNH196536 TDL196334:TDL196536 STP196334:STP196536 SJT196334:SJT196536 RZX196334:RZX196536 RQB196334:RQB196536 RGF196334:RGF196536 QWJ196334:QWJ196536 QMN196334:QMN196536 QCR196334:QCR196536 PSV196334:PSV196536 PIZ196334:PIZ196536 OZD196334:OZD196536 OPH196334:OPH196536 OFL196334:OFL196536 NVP196334:NVP196536 NLT196334:NLT196536 NBX196334:NBX196536 MSB196334:MSB196536 MIF196334:MIF196536 LYJ196334:LYJ196536 LON196334:LON196536 LER196334:LER196536 KUV196334:KUV196536 KKZ196334:KKZ196536 KBD196334:KBD196536 JRH196334:JRH196536 JHL196334:JHL196536 IXP196334:IXP196536 INT196334:INT196536 IDX196334:IDX196536 HUB196334:HUB196536 HKF196334:HKF196536 HAJ196334:HAJ196536 GQN196334:GQN196536 GGR196334:GGR196536 FWV196334:FWV196536 FMZ196334:FMZ196536 FDD196334:FDD196536 ETH196334:ETH196536 EJL196334:EJL196536 DZP196334:DZP196536 DPT196334:DPT196536 DFX196334:DFX196536 CWB196334:CWB196536 CMF196334:CMF196536 CCJ196334:CCJ196536 BSN196334:BSN196536 BIR196334:BIR196536 AYV196334:AYV196536 AOZ196334:AOZ196536 AFD196334:AFD196536 VH196334:VH196536 LL196334:LL196536 BN196334:BN196536 WXX130798:WXX131000 WOB130798:WOB131000 WEF130798:WEF131000 VUJ130798:VUJ131000 VKN130798:VKN131000 VAR130798:VAR131000 UQV130798:UQV131000 UGZ130798:UGZ131000 TXD130798:TXD131000 TNH130798:TNH131000 TDL130798:TDL131000 STP130798:STP131000 SJT130798:SJT131000 RZX130798:RZX131000 RQB130798:RQB131000 RGF130798:RGF131000 QWJ130798:QWJ131000 QMN130798:QMN131000 QCR130798:QCR131000 PSV130798:PSV131000 PIZ130798:PIZ131000 OZD130798:OZD131000 OPH130798:OPH131000 OFL130798:OFL131000 NVP130798:NVP131000 NLT130798:NLT131000 NBX130798:NBX131000 MSB130798:MSB131000 MIF130798:MIF131000 LYJ130798:LYJ131000 LON130798:LON131000 LER130798:LER131000 KUV130798:KUV131000 KKZ130798:KKZ131000 KBD130798:KBD131000 JRH130798:JRH131000 JHL130798:JHL131000 IXP130798:IXP131000 INT130798:INT131000 IDX130798:IDX131000 HUB130798:HUB131000 HKF130798:HKF131000 HAJ130798:HAJ131000 GQN130798:GQN131000 GGR130798:GGR131000 FWV130798:FWV131000 FMZ130798:FMZ131000 FDD130798:FDD131000 ETH130798:ETH131000 EJL130798:EJL131000 DZP130798:DZP131000 DPT130798:DPT131000 DFX130798:DFX131000 CWB130798:CWB131000 CMF130798:CMF131000 CCJ130798:CCJ131000 BSN130798:BSN131000 BIR130798:BIR131000 AYV130798:AYV131000 AOZ130798:AOZ131000 AFD130798:AFD131000 VH130798:VH131000 LL130798:LL131000 BN130798:BN131000 WXX65262:WXX65464 WOB65262:WOB65464 WEF65262:WEF65464 VUJ65262:VUJ65464 VKN65262:VKN65464 VAR65262:VAR65464 UQV65262:UQV65464 UGZ65262:UGZ65464 TXD65262:TXD65464 TNH65262:TNH65464 TDL65262:TDL65464 STP65262:STP65464 SJT65262:SJT65464 RZX65262:RZX65464 RQB65262:RQB65464 RGF65262:RGF65464 QWJ65262:QWJ65464 QMN65262:QMN65464 QCR65262:QCR65464 PSV65262:PSV65464 PIZ65262:PIZ65464 OZD65262:OZD65464 OPH65262:OPH65464 OFL65262:OFL65464 NVP65262:NVP65464 NLT65262:NLT65464 NBX65262:NBX65464 MSB65262:MSB65464 MIF65262:MIF65464 LYJ65262:LYJ65464 LON65262:LON65464 LER65262:LER65464 KUV65262:KUV65464 KKZ65262:KKZ65464 KBD65262:KBD65464 JRH65262:JRH65464 JHL65262:JHL65464 IXP65262:IXP65464 INT65262:INT65464 IDX65262:IDX65464 HUB65262:HUB65464 HKF65262:HKF65464 HAJ65262:HAJ65464 GQN65262:GQN65464 GGR65262:GGR65464 FWV65262:FWV65464 FMZ65262:FMZ65464 FDD65262:FDD65464 ETH65262:ETH65464 EJL65262:EJL65464 DZP65262:DZP65464 DPT65262:DPT65464 DFX65262:DFX65464 CWB65262:CWB65464 CMF65262:CMF65464 CCJ65262:CCJ65464 BSN65262:BSN65464 BIR65262:BIR65464 AYV65262:AYV65464 AOZ65262:AOZ65464 AFD65262:AFD65464 VH65262:VH65464 LL65262:LL65464 WXX5:WXX11 WOB5:WOB11 WEF5:WEF11 VUJ5:VUJ11 VKN5:VKN11 VAR5:VAR11 UQV5:UQV11 UGZ5:UGZ11 TXD5:TXD11 TNH5:TNH11 TDL5:TDL11 STP5:STP11 SJT5:SJT11 RZX5:RZX11 RQB5:RQB11 RGF5:RGF11 QWJ5:QWJ11 QMN5:QMN11 QCR5:QCR11 PSV5:PSV11 PIZ5:PIZ11 OZD5:OZD11 OPH5:OPH11 OFL5:OFL11 NVP5:NVP11 NLT5:NLT11 NBX5:NBX11 MSB5:MSB11 MIF5:MIF11 LYJ5:LYJ11 LON5:LON11 LER5:LER11 KUV5:KUV11 KKZ5:KKZ11 KBD5:KBD11 JRH5:JRH11 JHL5:JHL11 IXP5:IXP11 INT5:INT11 IDX5:IDX11 HUB5:HUB11 HKF5:HKF11 HAJ5:HAJ11 GQN5:GQN11 GGR5:GGR11 FWV5:FWV11 FMZ5:FMZ11 FDD5:FDD11 ETH5:ETH11 EJL5:EJL11 DZP5:DZP11 DPT5:DPT11 DFX5:DFX11 CWB5:CWB11 CMF5:CMF11 CCJ5:CCJ11 BSN5:BSN11 BIR5:BIR11 AYV5:AYV11 AOZ5:AOZ11 AFD5:AFD11">
      <formula1>$E$12:$E$12</formula1>
    </dataValidation>
    <dataValidation type="whole" allowBlank="1" showInputMessage="1" showErrorMessage="1" sqref="BM65262:BM65468 LK65262:LK65468 VG65262:VG65468 AFC65262:AFC65468 AOY65262:AOY65468 AYU65262:AYU65468 BIQ65262:BIQ65468 BSM65262:BSM65468 CCI65262:CCI65468 CME65262:CME65468 CWA65262:CWA65468 DFW65262:DFW65468 DPS65262:DPS65468 DZO65262:DZO65468 EJK65262:EJK65468 ETG65262:ETG65468 FDC65262:FDC65468 FMY65262:FMY65468 FWU65262:FWU65468 GGQ65262:GGQ65468 GQM65262:GQM65468 HAI65262:HAI65468 HKE65262:HKE65468 HUA65262:HUA65468 IDW65262:IDW65468 INS65262:INS65468 IXO65262:IXO65468 JHK65262:JHK65468 JRG65262:JRG65468 KBC65262:KBC65468 KKY65262:KKY65468 KUU65262:KUU65468 LEQ65262:LEQ65468 LOM65262:LOM65468 LYI65262:LYI65468 MIE65262:MIE65468 MSA65262:MSA65468 NBW65262:NBW65468 NLS65262:NLS65468 NVO65262:NVO65468 OFK65262:OFK65468 OPG65262:OPG65468 OZC65262:OZC65468 PIY65262:PIY65468 PSU65262:PSU65468 QCQ65262:QCQ65468 QMM65262:QMM65468 QWI65262:QWI65468 RGE65262:RGE65468 RQA65262:RQA65468 RZW65262:RZW65468 SJS65262:SJS65468 STO65262:STO65468 TDK65262:TDK65468 TNG65262:TNG65468 TXC65262:TXC65468 UGY65262:UGY65468 UQU65262:UQU65468 VAQ65262:VAQ65468 VKM65262:VKM65468 VUI65262:VUI65468 WEE65262:WEE65468 WOA65262:WOA65468 WXW65262:WXW65468 BM130798:BM131004 LK130798:LK131004 VG130798:VG131004 AFC130798:AFC131004 AOY130798:AOY131004 AYU130798:AYU131004 BIQ130798:BIQ131004 BSM130798:BSM131004 CCI130798:CCI131004 CME130798:CME131004 CWA130798:CWA131004 DFW130798:DFW131004 DPS130798:DPS131004 DZO130798:DZO131004 EJK130798:EJK131004 ETG130798:ETG131004 FDC130798:FDC131004 FMY130798:FMY131004 FWU130798:FWU131004 GGQ130798:GGQ131004 GQM130798:GQM131004 HAI130798:HAI131004 HKE130798:HKE131004 HUA130798:HUA131004 IDW130798:IDW131004 INS130798:INS131004 IXO130798:IXO131004 JHK130798:JHK131004 JRG130798:JRG131004 KBC130798:KBC131004 KKY130798:KKY131004 KUU130798:KUU131004 LEQ130798:LEQ131004 LOM130798:LOM131004 LYI130798:LYI131004 MIE130798:MIE131004 MSA130798:MSA131004 NBW130798:NBW131004 NLS130798:NLS131004 NVO130798:NVO131004 OFK130798:OFK131004 OPG130798:OPG131004 OZC130798:OZC131004 PIY130798:PIY131004 PSU130798:PSU131004 QCQ130798:QCQ131004 QMM130798:QMM131004 QWI130798:QWI131004 RGE130798:RGE131004 RQA130798:RQA131004 RZW130798:RZW131004 SJS130798:SJS131004 STO130798:STO131004 TDK130798:TDK131004 TNG130798:TNG131004 TXC130798:TXC131004 UGY130798:UGY131004 UQU130798:UQU131004 VAQ130798:VAQ131004 VKM130798:VKM131004 VUI130798:VUI131004 WEE130798:WEE131004 WOA130798:WOA131004 WXW130798:WXW131004 BM196334:BM196540 LK196334:LK196540 VG196334:VG196540 AFC196334:AFC196540 AOY196334:AOY196540 AYU196334:AYU196540 BIQ196334:BIQ196540 BSM196334:BSM196540 CCI196334:CCI196540 CME196334:CME196540 CWA196334:CWA196540 DFW196334:DFW196540 DPS196334:DPS196540 DZO196334:DZO196540 EJK196334:EJK196540 ETG196334:ETG196540 FDC196334:FDC196540 FMY196334:FMY196540 FWU196334:FWU196540 GGQ196334:GGQ196540 GQM196334:GQM196540 HAI196334:HAI196540 HKE196334:HKE196540 HUA196334:HUA196540 IDW196334:IDW196540 INS196334:INS196540 IXO196334:IXO196540 JHK196334:JHK196540 JRG196334:JRG196540 KBC196334:KBC196540 KKY196334:KKY196540 KUU196334:KUU196540 LEQ196334:LEQ196540 LOM196334:LOM196540 LYI196334:LYI196540 MIE196334:MIE196540 MSA196334:MSA196540 NBW196334:NBW196540 NLS196334:NLS196540 NVO196334:NVO196540 OFK196334:OFK196540 OPG196334:OPG196540 OZC196334:OZC196540 PIY196334:PIY196540 PSU196334:PSU196540 QCQ196334:QCQ196540 QMM196334:QMM196540 QWI196334:QWI196540 RGE196334:RGE196540 RQA196334:RQA196540 RZW196334:RZW196540 SJS196334:SJS196540 STO196334:STO196540 TDK196334:TDK196540 TNG196334:TNG196540 TXC196334:TXC196540 UGY196334:UGY196540 UQU196334:UQU196540 VAQ196334:VAQ196540 VKM196334:VKM196540 VUI196334:VUI196540 WEE196334:WEE196540 WOA196334:WOA196540 WXW196334:WXW196540 BM261870:BM262076 LK261870:LK262076 VG261870:VG262076 AFC261870:AFC262076 AOY261870:AOY262076 AYU261870:AYU262076 BIQ261870:BIQ262076 BSM261870:BSM262076 CCI261870:CCI262076 CME261870:CME262076 CWA261870:CWA262076 DFW261870:DFW262076 DPS261870:DPS262076 DZO261870:DZO262076 EJK261870:EJK262076 ETG261870:ETG262076 FDC261870:FDC262076 FMY261870:FMY262076 FWU261870:FWU262076 GGQ261870:GGQ262076 GQM261870:GQM262076 HAI261870:HAI262076 HKE261870:HKE262076 HUA261870:HUA262076 IDW261870:IDW262076 INS261870:INS262076 IXO261870:IXO262076 JHK261870:JHK262076 JRG261870:JRG262076 KBC261870:KBC262076 KKY261870:KKY262076 KUU261870:KUU262076 LEQ261870:LEQ262076 LOM261870:LOM262076 LYI261870:LYI262076 MIE261870:MIE262076 MSA261870:MSA262076 NBW261870:NBW262076 NLS261870:NLS262076 NVO261870:NVO262076 OFK261870:OFK262076 OPG261870:OPG262076 OZC261870:OZC262076 PIY261870:PIY262076 PSU261870:PSU262076 QCQ261870:QCQ262076 QMM261870:QMM262076 QWI261870:QWI262076 RGE261870:RGE262076 RQA261870:RQA262076 RZW261870:RZW262076 SJS261870:SJS262076 STO261870:STO262076 TDK261870:TDK262076 TNG261870:TNG262076 TXC261870:TXC262076 UGY261870:UGY262076 UQU261870:UQU262076 VAQ261870:VAQ262076 VKM261870:VKM262076 VUI261870:VUI262076 WEE261870:WEE262076 WOA261870:WOA262076 WXW261870:WXW262076 BM327406:BM327612 LK327406:LK327612 VG327406:VG327612 AFC327406:AFC327612 AOY327406:AOY327612 AYU327406:AYU327612 BIQ327406:BIQ327612 BSM327406:BSM327612 CCI327406:CCI327612 CME327406:CME327612 CWA327406:CWA327612 DFW327406:DFW327612 DPS327406:DPS327612 DZO327406:DZO327612 EJK327406:EJK327612 ETG327406:ETG327612 FDC327406:FDC327612 FMY327406:FMY327612 FWU327406:FWU327612 GGQ327406:GGQ327612 GQM327406:GQM327612 HAI327406:HAI327612 HKE327406:HKE327612 HUA327406:HUA327612 IDW327406:IDW327612 INS327406:INS327612 IXO327406:IXO327612 JHK327406:JHK327612 JRG327406:JRG327612 KBC327406:KBC327612 KKY327406:KKY327612 KUU327406:KUU327612 LEQ327406:LEQ327612 LOM327406:LOM327612 LYI327406:LYI327612 MIE327406:MIE327612 MSA327406:MSA327612 NBW327406:NBW327612 NLS327406:NLS327612 NVO327406:NVO327612 OFK327406:OFK327612 OPG327406:OPG327612 OZC327406:OZC327612 PIY327406:PIY327612 PSU327406:PSU327612 QCQ327406:QCQ327612 QMM327406:QMM327612 QWI327406:QWI327612 RGE327406:RGE327612 RQA327406:RQA327612 RZW327406:RZW327612 SJS327406:SJS327612 STO327406:STO327612 TDK327406:TDK327612 TNG327406:TNG327612 TXC327406:TXC327612 UGY327406:UGY327612 UQU327406:UQU327612 VAQ327406:VAQ327612 VKM327406:VKM327612 VUI327406:VUI327612 WEE327406:WEE327612 WOA327406:WOA327612 WXW327406:WXW327612 BM392942:BM393148 LK392942:LK393148 VG392942:VG393148 AFC392942:AFC393148 AOY392942:AOY393148 AYU392942:AYU393148 BIQ392942:BIQ393148 BSM392942:BSM393148 CCI392942:CCI393148 CME392942:CME393148 CWA392942:CWA393148 DFW392942:DFW393148 DPS392942:DPS393148 DZO392942:DZO393148 EJK392942:EJK393148 ETG392942:ETG393148 FDC392942:FDC393148 FMY392942:FMY393148 FWU392942:FWU393148 GGQ392942:GGQ393148 GQM392942:GQM393148 HAI392942:HAI393148 HKE392942:HKE393148 HUA392942:HUA393148 IDW392942:IDW393148 INS392942:INS393148 IXO392942:IXO393148 JHK392942:JHK393148 JRG392942:JRG393148 KBC392942:KBC393148 KKY392942:KKY393148 KUU392942:KUU393148 LEQ392942:LEQ393148 LOM392942:LOM393148 LYI392942:LYI393148 MIE392942:MIE393148 MSA392942:MSA393148 NBW392942:NBW393148 NLS392942:NLS393148 NVO392942:NVO393148 OFK392942:OFK393148 OPG392942:OPG393148 OZC392942:OZC393148 PIY392942:PIY393148 PSU392942:PSU393148 QCQ392942:QCQ393148 QMM392942:QMM393148 QWI392942:QWI393148 RGE392942:RGE393148 RQA392942:RQA393148 RZW392942:RZW393148 SJS392942:SJS393148 STO392942:STO393148 TDK392942:TDK393148 TNG392942:TNG393148 TXC392942:TXC393148 UGY392942:UGY393148 UQU392942:UQU393148 VAQ392942:VAQ393148 VKM392942:VKM393148 VUI392942:VUI393148 WEE392942:WEE393148 WOA392942:WOA393148 WXW392942:WXW393148 BM458478:BM458684 LK458478:LK458684 VG458478:VG458684 AFC458478:AFC458684 AOY458478:AOY458684 AYU458478:AYU458684 BIQ458478:BIQ458684 BSM458478:BSM458684 CCI458478:CCI458684 CME458478:CME458684 CWA458478:CWA458684 DFW458478:DFW458684 DPS458478:DPS458684 DZO458478:DZO458684 EJK458478:EJK458684 ETG458478:ETG458684 FDC458478:FDC458684 FMY458478:FMY458684 FWU458478:FWU458684 GGQ458478:GGQ458684 GQM458478:GQM458684 HAI458478:HAI458684 HKE458478:HKE458684 HUA458478:HUA458684 IDW458478:IDW458684 INS458478:INS458684 IXO458478:IXO458684 JHK458478:JHK458684 JRG458478:JRG458684 KBC458478:KBC458684 KKY458478:KKY458684 KUU458478:KUU458684 LEQ458478:LEQ458684 LOM458478:LOM458684 LYI458478:LYI458684 MIE458478:MIE458684 MSA458478:MSA458684 NBW458478:NBW458684 NLS458478:NLS458684 NVO458478:NVO458684 OFK458478:OFK458684 OPG458478:OPG458684 OZC458478:OZC458684 PIY458478:PIY458684 PSU458478:PSU458684 QCQ458478:QCQ458684 QMM458478:QMM458684 QWI458478:QWI458684 RGE458478:RGE458684 RQA458478:RQA458684 RZW458478:RZW458684 SJS458478:SJS458684 STO458478:STO458684 TDK458478:TDK458684 TNG458478:TNG458684 TXC458478:TXC458684 UGY458478:UGY458684 UQU458478:UQU458684 VAQ458478:VAQ458684 VKM458478:VKM458684 VUI458478:VUI458684 WEE458478:WEE458684 WOA458478:WOA458684 WXW458478:WXW458684 BM524014:BM524220 LK524014:LK524220 VG524014:VG524220 AFC524014:AFC524220 AOY524014:AOY524220 AYU524014:AYU524220 BIQ524014:BIQ524220 BSM524014:BSM524220 CCI524014:CCI524220 CME524014:CME524220 CWA524014:CWA524220 DFW524014:DFW524220 DPS524014:DPS524220 DZO524014:DZO524220 EJK524014:EJK524220 ETG524014:ETG524220 FDC524014:FDC524220 FMY524014:FMY524220 FWU524014:FWU524220 GGQ524014:GGQ524220 GQM524014:GQM524220 HAI524014:HAI524220 HKE524014:HKE524220 HUA524014:HUA524220 IDW524014:IDW524220 INS524014:INS524220 IXO524014:IXO524220 JHK524014:JHK524220 JRG524014:JRG524220 KBC524014:KBC524220 KKY524014:KKY524220 KUU524014:KUU524220 LEQ524014:LEQ524220 LOM524014:LOM524220 LYI524014:LYI524220 MIE524014:MIE524220 MSA524014:MSA524220 NBW524014:NBW524220 NLS524014:NLS524220 NVO524014:NVO524220 OFK524014:OFK524220 OPG524014:OPG524220 OZC524014:OZC524220 PIY524014:PIY524220 PSU524014:PSU524220 QCQ524014:QCQ524220 QMM524014:QMM524220 QWI524014:QWI524220 RGE524014:RGE524220 RQA524014:RQA524220 RZW524014:RZW524220 SJS524014:SJS524220 STO524014:STO524220 TDK524014:TDK524220 TNG524014:TNG524220 TXC524014:TXC524220 UGY524014:UGY524220 UQU524014:UQU524220 VAQ524014:VAQ524220 VKM524014:VKM524220 VUI524014:VUI524220 WEE524014:WEE524220 WOA524014:WOA524220 WXW524014:WXW524220 BM589550:BM589756 LK589550:LK589756 VG589550:VG589756 AFC589550:AFC589756 AOY589550:AOY589756 AYU589550:AYU589756 BIQ589550:BIQ589756 BSM589550:BSM589756 CCI589550:CCI589756 CME589550:CME589756 CWA589550:CWA589756 DFW589550:DFW589756 DPS589550:DPS589756 DZO589550:DZO589756 EJK589550:EJK589756 ETG589550:ETG589756 FDC589550:FDC589756 FMY589550:FMY589756 FWU589550:FWU589756 GGQ589550:GGQ589756 GQM589550:GQM589756 HAI589550:HAI589756 HKE589550:HKE589756 HUA589550:HUA589756 IDW589550:IDW589756 INS589550:INS589756 IXO589550:IXO589756 JHK589550:JHK589756 JRG589550:JRG589756 KBC589550:KBC589756 KKY589550:KKY589756 KUU589550:KUU589756 LEQ589550:LEQ589756 LOM589550:LOM589756 LYI589550:LYI589756 MIE589550:MIE589756 MSA589550:MSA589756 NBW589550:NBW589756 NLS589550:NLS589756 NVO589550:NVO589756 OFK589550:OFK589756 OPG589550:OPG589756 OZC589550:OZC589756 PIY589550:PIY589756 PSU589550:PSU589756 QCQ589550:QCQ589756 QMM589550:QMM589756 QWI589550:QWI589756 RGE589550:RGE589756 RQA589550:RQA589756 RZW589550:RZW589756 SJS589550:SJS589756 STO589550:STO589756 TDK589550:TDK589756 TNG589550:TNG589756 TXC589550:TXC589756 UGY589550:UGY589756 UQU589550:UQU589756 VAQ589550:VAQ589756 VKM589550:VKM589756 VUI589550:VUI589756 WEE589550:WEE589756 WOA589550:WOA589756 WXW589550:WXW589756 BM655086:BM655292 LK655086:LK655292 VG655086:VG655292 AFC655086:AFC655292 AOY655086:AOY655292 AYU655086:AYU655292 BIQ655086:BIQ655292 BSM655086:BSM655292 CCI655086:CCI655292 CME655086:CME655292 CWA655086:CWA655292 DFW655086:DFW655292 DPS655086:DPS655292 DZO655086:DZO655292 EJK655086:EJK655292 ETG655086:ETG655292 FDC655086:FDC655292 FMY655086:FMY655292 FWU655086:FWU655292 GGQ655086:GGQ655292 GQM655086:GQM655292 HAI655086:HAI655292 HKE655086:HKE655292 HUA655086:HUA655292 IDW655086:IDW655292 INS655086:INS655292 IXO655086:IXO655292 JHK655086:JHK655292 JRG655086:JRG655292 KBC655086:KBC655292 KKY655086:KKY655292 KUU655086:KUU655292 LEQ655086:LEQ655292 LOM655086:LOM655292 LYI655086:LYI655292 MIE655086:MIE655292 MSA655086:MSA655292 NBW655086:NBW655292 NLS655086:NLS655292 NVO655086:NVO655292 OFK655086:OFK655292 OPG655086:OPG655292 OZC655086:OZC655292 PIY655086:PIY655292 PSU655086:PSU655292 QCQ655086:QCQ655292 QMM655086:QMM655292 QWI655086:QWI655292 RGE655086:RGE655292 RQA655086:RQA655292 RZW655086:RZW655292 SJS655086:SJS655292 STO655086:STO655292 TDK655086:TDK655292 TNG655086:TNG655292 TXC655086:TXC655292 UGY655086:UGY655292 UQU655086:UQU655292 VAQ655086:VAQ655292 VKM655086:VKM655292 VUI655086:VUI655292 WEE655086:WEE655292 WOA655086:WOA655292 WXW655086:WXW655292 BM720622:BM720828 LK720622:LK720828 VG720622:VG720828 AFC720622:AFC720828 AOY720622:AOY720828 AYU720622:AYU720828 BIQ720622:BIQ720828 BSM720622:BSM720828 CCI720622:CCI720828 CME720622:CME720828 CWA720622:CWA720828 DFW720622:DFW720828 DPS720622:DPS720828 DZO720622:DZO720828 EJK720622:EJK720828 ETG720622:ETG720828 FDC720622:FDC720828 FMY720622:FMY720828 FWU720622:FWU720828 GGQ720622:GGQ720828 GQM720622:GQM720828 HAI720622:HAI720828 HKE720622:HKE720828 HUA720622:HUA720828 IDW720622:IDW720828 INS720622:INS720828 IXO720622:IXO720828 JHK720622:JHK720828 JRG720622:JRG720828 KBC720622:KBC720828 KKY720622:KKY720828 KUU720622:KUU720828 LEQ720622:LEQ720828 LOM720622:LOM720828 LYI720622:LYI720828 MIE720622:MIE720828 MSA720622:MSA720828 NBW720622:NBW720828 NLS720622:NLS720828 NVO720622:NVO720828 OFK720622:OFK720828 OPG720622:OPG720828 OZC720622:OZC720828 PIY720622:PIY720828 PSU720622:PSU720828 QCQ720622:QCQ720828 QMM720622:QMM720828 QWI720622:QWI720828 RGE720622:RGE720828 RQA720622:RQA720828 RZW720622:RZW720828 SJS720622:SJS720828 STO720622:STO720828 TDK720622:TDK720828 TNG720622:TNG720828 TXC720622:TXC720828 UGY720622:UGY720828 UQU720622:UQU720828 VAQ720622:VAQ720828 VKM720622:VKM720828 VUI720622:VUI720828 WEE720622:WEE720828 WOA720622:WOA720828 WXW720622:WXW720828 BM786158:BM786364 LK786158:LK786364 VG786158:VG786364 AFC786158:AFC786364 AOY786158:AOY786364 AYU786158:AYU786364 BIQ786158:BIQ786364 BSM786158:BSM786364 CCI786158:CCI786364 CME786158:CME786364 CWA786158:CWA786364 DFW786158:DFW786364 DPS786158:DPS786364 DZO786158:DZO786364 EJK786158:EJK786364 ETG786158:ETG786364 FDC786158:FDC786364 FMY786158:FMY786364 FWU786158:FWU786364 GGQ786158:GGQ786364 GQM786158:GQM786364 HAI786158:HAI786364 HKE786158:HKE786364 HUA786158:HUA786364 IDW786158:IDW786364 INS786158:INS786364 IXO786158:IXO786364 JHK786158:JHK786364 JRG786158:JRG786364 KBC786158:KBC786364 KKY786158:KKY786364 KUU786158:KUU786364 LEQ786158:LEQ786364 LOM786158:LOM786364 LYI786158:LYI786364 MIE786158:MIE786364 MSA786158:MSA786364 NBW786158:NBW786364 NLS786158:NLS786364 NVO786158:NVO786364 OFK786158:OFK786364 OPG786158:OPG786364 OZC786158:OZC786364 PIY786158:PIY786364 PSU786158:PSU786364 QCQ786158:QCQ786364 QMM786158:QMM786364 QWI786158:QWI786364 RGE786158:RGE786364 RQA786158:RQA786364 RZW786158:RZW786364 SJS786158:SJS786364 STO786158:STO786364 TDK786158:TDK786364 TNG786158:TNG786364 TXC786158:TXC786364 UGY786158:UGY786364 UQU786158:UQU786364 VAQ786158:VAQ786364 VKM786158:VKM786364 VUI786158:VUI786364 WEE786158:WEE786364 WOA786158:WOA786364 WXW786158:WXW786364 BM851694:BM851900 LK851694:LK851900 VG851694:VG851900 AFC851694:AFC851900 AOY851694:AOY851900 AYU851694:AYU851900 BIQ851694:BIQ851900 BSM851694:BSM851900 CCI851694:CCI851900 CME851694:CME851900 CWA851694:CWA851900 DFW851694:DFW851900 DPS851694:DPS851900 DZO851694:DZO851900 EJK851694:EJK851900 ETG851694:ETG851900 FDC851694:FDC851900 FMY851694:FMY851900 FWU851694:FWU851900 GGQ851694:GGQ851900 GQM851694:GQM851900 HAI851694:HAI851900 HKE851694:HKE851900 HUA851694:HUA851900 IDW851694:IDW851900 INS851694:INS851900 IXO851694:IXO851900 JHK851694:JHK851900 JRG851694:JRG851900 KBC851694:KBC851900 KKY851694:KKY851900 KUU851694:KUU851900 LEQ851694:LEQ851900 LOM851694:LOM851900 LYI851694:LYI851900 MIE851694:MIE851900 MSA851694:MSA851900 NBW851694:NBW851900 NLS851694:NLS851900 NVO851694:NVO851900 OFK851694:OFK851900 OPG851694:OPG851900 OZC851694:OZC851900 PIY851694:PIY851900 PSU851694:PSU851900 QCQ851694:QCQ851900 QMM851694:QMM851900 QWI851694:QWI851900 RGE851694:RGE851900 RQA851694:RQA851900 RZW851694:RZW851900 SJS851694:SJS851900 STO851694:STO851900 TDK851694:TDK851900 TNG851694:TNG851900 TXC851694:TXC851900 UGY851694:UGY851900 UQU851694:UQU851900 VAQ851694:VAQ851900 VKM851694:VKM851900 VUI851694:VUI851900 WEE851694:WEE851900 WOA851694:WOA851900 WXW851694:WXW851900 BM917230:BM917436 LK917230:LK917436 VG917230:VG917436 AFC917230:AFC917436 AOY917230:AOY917436 AYU917230:AYU917436 BIQ917230:BIQ917436 BSM917230:BSM917436 CCI917230:CCI917436 CME917230:CME917436 CWA917230:CWA917436 DFW917230:DFW917436 DPS917230:DPS917436 DZO917230:DZO917436 EJK917230:EJK917436 ETG917230:ETG917436 FDC917230:FDC917436 FMY917230:FMY917436 FWU917230:FWU917436 GGQ917230:GGQ917436 GQM917230:GQM917436 HAI917230:HAI917436 HKE917230:HKE917436 HUA917230:HUA917436 IDW917230:IDW917436 INS917230:INS917436 IXO917230:IXO917436 JHK917230:JHK917436 JRG917230:JRG917436 KBC917230:KBC917436 KKY917230:KKY917436 KUU917230:KUU917436 LEQ917230:LEQ917436 LOM917230:LOM917436 LYI917230:LYI917436 MIE917230:MIE917436 MSA917230:MSA917436 NBW917230:NBW917436 NLS917230:NLS917436 NVO917230:NVO917436 OFK917230:OFK917436 OPG917230:OPG917436 OZC917230:OZC917436 PIY917230:PIY917436 PSU917230:PSU917436 QCQ917230:QCQ917436 QMM917230:QMM917436 QWI917230:QWI917436 RGE917230:RGE917436 RQA917230:RQA917436 RZW917230:RZW917436 SJS917230:SJS917436 STO917230:STO917436 TDK917230:TDK917436 TNG917230:TNG917436 TXC917230:TXC917436 UGY917230:UGY917436 UQU917230:UQU917436 VAQ917230:VAQ917436 VKM917230:VKM917436 VUI917230:VUI917436 WEE917230:WEE917436 WOA917230:WOA917436 WXW917230:WXW917436 BM982766:BM982972 LK982766:LK982972 VG982766:VG982972 AFC982766:AFC982972 AOY982766:AOY982972 AYU982766:AYU982972 BIQ982766:BIQ982972 BSM982766:BSM982972 CCI982766:CCI982972 CME982766:CME982972 CWA982766:CWA982972 DFW982766:DFW982972 DPS982766:DPS982972 DZO982766:DZO982972 EJK982766:EJK982972 ETG982766:ETG982972 FDC982766:FDC982972 FMY982766:FMY982972 FWU982766:FWU982972 GGQ982766:GGQ982972 GQM982766:GQM982972 HAI982766:HAI982972 HKE982766:HKE982972 HUA982766:HUA982972 IDW982766:IDW982972 INS982766:INS982972 IXO982766:IXO982972 JHK982766:JHK982972 JRG982766:JRG982972 KBC982766:KBC982972 KKY982766:KKY982972 KUU982766:KUU982972 LEQ982766:LEQ982972 LOM982766:LOM982972 LYI982766:LYI982972 MIE982766:MIE982972 MSA982766:MSA982972 NBW982766:NBW982972 NLS982766:NLS982972 NVO982766:NVO982972 OFK982766:OFK982972 OPG982766:OPG982972 OZC982766:OZC982972 PIY982766:PIY982972 PSU982766:PSU982972 QCQ982766:QCQ982972 QMM982766:QMM982972 QWI982766:QWI982972 RGE982766:RGE982972 RQA982766:RQA982972 RZW982766:RZW982972 SJS982766:SJS982972 STO982766:STO982972 TDK982766:TDK982972 TNG982766:TNG982972 TXC982766:TXC982972 UGY982766:UGY982972 UQU982766:UQU982972 VAQ982766:VAQ982972 VKM982766:VKM982972 VUI982766:VUI982972 WEE982766:WEE982972 WOA982766:WOA982972 WXW982766:WXW982972 WXW5:WXW11 LK5:LK11 VG5:VG11 AFC5:AFC11 AOY5:AOY11 AYU5:AYU11 BIQ5:BIQ11 BSM5:BSM11 CCI5:CCI11 CME5:CME11 CWA5:CWA11 DFW5:DFW11 DPS5:DPS11 DZO5:DZO11 EJK5:EJK11 ETG5:ETG11 FDC5:FDC11 FMY5:FMY11 FWU5:FWU11 GGQ5:GGQ11 GQM5:GQM11 HAI5:HAI11 HKE5:HKE11 HUA5:HUA11 IDW5:IDW11 INS5:INS11 IXO5:IXO11 JHK5:JHK11 JRG5:JRG11 KBC5:KBC11 KKY5:KKY11 KUU5:KUU11 LEQ5:LEQ11 LOM5:LOM11 LYI5:LYI11 MIE5:MIE11 MSA5:MSA11 NBW5:NBW11 NLS5:NLS11 NVO5:NVO11 OFK5:OFK11 OPG5:OPG11 OZC5:OZC11 PIY5:PIY11 PSU5:PSU11 QCQ5:QCQ11 QMM5:QMM11 QWI5:QWI11 RGE5:RGE11 RQA5:RQA11 RZW5:RZW11 SJS5:SJS11 STO5:STO11 TDK5:TDK11 TNG5:TNG11 TXC5:TXC11 UGY5:UGY11 UQU5:UQU11 VAQ5:VAQ11 VKM5:VKM11 VUI5:VUI11 WEE5:WEE11 WOA5:WOA11">
      <formula1>0</formula1>
      <formula2>1000000000</formula2>
    </dataValidation>
    <dataValidation type="whole" allowBlank="1" showInputMessage="1" showErrorMessage="1" sqref="BT65262:BT65468 LO65262:LO65468 VK65262:VK65468 AFG65262:AFG65468 APC65262:APC65468 AYY65262:AYY65468 BIU65262:BIU65468 BSQ65262:BSQ65468 CCM65262:CCM65468 CMI65262:CMI65468 CWE65262:CWE65468 DGA65262:DGA65468 DPW65262:DPW65468 DZS65262:DZS65468 EJO65262:EJO65468 ETK65262:ETK65468 FDG65262:FDG65468 FNC65262:FNC65468 FWY65262:FWY65468 GGU65262:GGU65468 GQQ65262:GQQ65468 HAM65262:HAM65468 HKI65262:HKI65468 HUE65262:HUE65468 IEA65262:IEA65468 INW65262:INW65468 IXS65262:IXS65468 JHO65262:JHO65468 JRK65262:JRK65468 KBG65262:KBG65468 KLC65262:KLC65468 KUY65262:KUY65468 LEU65262:LEU65468 LOQ65262:LOQ65468 LYM65262:LYM65468 MII65262:MII65468 MSE65262:MSE65468 NCA65262:NCA65468 NLW65262:NLW65468 NVS65262:NVS65468 OFO65262:OFO65468 OPK65262:OPK65468 OZG65262:OZG65468 PJC65262:PJC65468 PSY65262:PSY65468 QCU65262:QCU65468 QMQ65262:QMQ65468 QWM65262:QWM65468 RGI65262:RGI65468 RQE65262:RQE65468 SAA65262:SAA65468 SJW65262:SJW65468 STS65262:STS65468 TDO65262:TDO65468 TNK65262:TNK65468 TXG65262:TXG65468 UHC65262:UHC65468 UQY65262:UQY65468 VAU65262:VAU65468 VKQ65262:VKQ65468 VUM65262:VUM65468 WEI65262:WEI65468 WOE65262:WOE65468 WYA65262:WYA65468 BT130798:BT131004 LO130798:LO131004 VK130798:VK131004 AFG130798:AFG131004 APC130798:APC131004 AYY130798:AYY131004 BIU130798:BIU131004 BSQ130798:BSQ131004 CCM130798:CCM131004 CMI130798:CMI131004 CWE130798:CWE131004 DGA130798:DGA131004 DPW130798:DPW131004 DZS130798:DZS131004 EJO130798:EJO131004 ETK130798:ETK131004 FDG130798:FDG131004 FNC130798:FNC131004 FWY130798:FWY131004 GGU130798:GGU131004 GQQ130798:GQQ131004 HAM130798:HAM131004 HKI130798:HKI131004 HUE130798:HUE131004 IEA130798:IEA131004 INW130798:INW131004 IXS130798:IXS131004 JHO130798:JHO131004 JRK130798:JRK131004 KBG130798:KBG131004 KLC130798:KLC131004 KUY130798:KUY131004 LEU130798:LEU131004 LOQ130798:LOQ131004 LYM130798:LYM131004 MII130798:MII131004 MSE130798:MSE131004 NCA130798:NCA131004 NLW130798:NLW131004 NVS130798:NVS131004 OFO130798:OFO131004 OPK130798:OPK131004 OZG130798:OZG131004 PJC130798:PJC131004 PSY130798:PSY131004 QCU130798:QCU131004 QMQ130798:QMQ131004 QWM130798:QWM131004 RGI130798:RGI131004 RQE130798:RQE131004 SAA130798:SAA131004 SJW130798:SJW131004 STS130798:STS131004 TDO130798:TDO131004 TNK130798:TNK131004 TXG130798:TXG131004 UHC130798:UHC131004 UQY130798:UQY131004 VAU130798:VAU131004 VKQ130798:VKQ131004 VUM130798:VUM131004 WEI130798:WEI131004 WOE130798:WOE131004 WYA130798:WYA131004 BT196334:BT196540 LO196334:LO196540 VK196334:VK196540 AFG196334:AFG196540 APC196334:APC196540 AYY196334:AYY196540 BIU196334:BIU196540 BSQ196334:BSQ196540 CCM196334:CCM196540 CMI196334:CMI196540 CWE196334:CWE196540 DGA196334:DGA196540 DPW196334:DPW196540 DZS196334:DZS196540 EJO196334:EJO196540 ETK196334:ETK196540 FDG196334:FDG196540 FNC196334:FNC196540 FWY196334:FWY196540 GGU196334:GGU196540 GQQ196334:GQQ196540 HAM196334:HAM196540 HKI196334:HKI196540 HUE196334:HUE196540 IEA196334:IEA196540 INW196334:INW196540 IXS196334:IXS196540 JHO196334:JHO196540 JRK196334:JRK196540 KBG196334:KBG196540 KLC196334:KLC196540 KUY196334:KUY196540 LEU196334:LEU196540 LOQ196334:LOQ196540 LYM196334:LYM196540 MII196334:MII196540 MSE196334:MSE196540 NCA196334:NCA196540 NLW196334:NLW196540 NVS196334:NVS196540 OFO196334:OFO196540 OPK196334:OPK196540 OZG196334:OZG196540 PJC196334:PJC196540 PSY196334:PSY196540 QCU196334:QCU196540 QMQ196334:QMQ196540 QWM196334:QWM196540 RGI196334:RGI196540 RQE196334:RQE196540 SAA196334:SAA196540 SJW196334:SJW196540 STS196334:STS196540 TDO196334:TDO196540 TNK196334:TNK196540 TXG196334:TXG196540 UHC196334:UHC196540 UQY196334:UQY196540 VAU196334:VAU196540 VKQ196334:VKQ196540 VUM196334:VUM196540 WEI196334:WEI196540 WOE196334:WOE196540 WYA196334:WYA196540 BT261870:BT262076 LO261870:LO262076 VK261870:VK262076 AFG261870:AFG262076 APC261870:APC262076 AYY261870:AYY262076 BIU261870:BIU262076 BSQ261870:BSQ262076 CCM261870:CCM262076 CMI261870:CMI262076 CWE261870:CWE262076 DGA261870:DGA262076 DPW261870:DPW262076 DZS261870:DZS262076 EJO261870:EJO262076 ETK261870:ETK262076 FDG261870:FDG262076 FNC261870:FNC262076 FWY261870:FWY262076 GGU261870:GGU262076 GQQ261870:GQQ262076 HAM261870:HAM262076 HKI261870:HKI262076 HUE261870:HUE262076 IEA261870:IEA262076 INW261870:INW262076 IXS261870:IXS262076 JHO261870:JHO262076 JRK261870:JRK262076 KBG261870:KBG262076 KLC261870:KLC262076 KUY261870:KUY262076 LEU261870:LEU262076 LOQ261870:LOQ262076 LYM261870:LYM262076 MII261870:MII262076 MSE261870:MSE262076 NCA261870:NCA262076 NLW261870:NLW262076 NVS261870:NVS262076 OFO261870:OFO262076 OPK261870:OPK262076 OZG261870:OZG262076 PJC261870:PJC262076 PSY261870:PSY262076 QCU261870:QCU262076 QMQ261870:QMQ262076 QWM261870:QWM262076 RGI261870:RGI262076 RQE261870:RQE262076 SAA261870:SAA262076 SJW261870:SJW262076 STS261870:STS262076 TDO261870:TDO262076 TNK261870:TNK262076 TXG261870:TXG262076 UHC261870:UHC262076 UQY261870:UQY262076 VAU261870:VAU262076 VKQ261870:VKQ262076 VUM261870:VUM262076 WEI261870:WEI262076 WOE261870:WOE262076 WYA261870:WYA262076 BT327406:BT327612 LO327406:LO327612 VK327406:VK327612 AFG327406:AFG327612 APC327406:APC327612 AYY327406:AYY327612 BIU327406:BIU327612 BSQ327406:BSQ327612 CCM327406:CCM327612 CMI327406:CMI327612 CWE327406:CWE327612 DGA327406:DGA327612 DPW327406:DPW327612 DZS327406:DZS327612 EJO327406:EJO327612 ETK327406:ETK327612 FDG327406:FDG327612 FNC327406:FNC327612 FWY327406:FWY327612 GGU327406:GGU327612 GQQ327406:GQQ327612 HAM327406:HAM327612 HKI327406:HKI327612 HUE327406:HUE327612 IEA327406:IEA327612 INW327406:INW327612 IXS327406:IXS327612 JHO327406:JHO327612 JRK327406:JRK327612 KBG327406:KBG327612 KLC327406:KLC327612 KUY327406:KUY327612 LEU327406:LEU327612 LOQ327406:LOQ327612 LYM327406:LYM327612 MII327406:MII327612 MSE327406:MSE327612 NCA327406:NCA327612 NLW327406:NLW327612 NVS327406:NVS327612 OFO327406:OFO327612 OPK327406:OPK327612 OZG327406:OZG327612 PJC327406:PJC327612 PSY327406:PSY327612 QCU327406:QCU327612 QMQ327406:QMQ327612 QWM327406:QWM327612 RGI327406:RGI327612 RQE327406:RQE327612 SAA327406:SAA327612 SJW327406:SJW327612 STS327406:STS327612 TDO327406:TDO327612 TNK327406:TNK327612 TXG327406:TXG327612 UHC327406:UHC327612 UQY327406:UQY327612 VAU327406:VAU327612 VKQ327406:VKQ327612 VUM327406:VUM327612 WEI327406:WEI327612 WOE327406:WOE327612 WYA327406:WYA327612 BT392942:BT393148 LO392942:LO393148 VK392942:VK393148 AFG392942:AFG393148 APC392942:APC393148 AYY392942:AYY393148 BIU392942:BIU393148 BSQ392942:BSQ393148 CCM392942:CCM393148 CMI392942:CMI393148 CWE392942:CWE393148 DGA392942:DGA393148 DPW392942:DPW393148 DZS392942:DZS393148 EJO392942:EJO393148 ETK392942:ETK393148 FDG392942:FDG393148 FNC392942:FNC393148 FWY392942:FWY393148 GGU392942:GGU393148 GQQ392942:GQQ393148 HAM392942:HAM393148 HKI392942:HKI393148 HUE392942:HUE393148 IEA392942:IEA393148 INW392942:INW393148 IXS392942:IXS393148 JHO392942:JHO393148 JRK392942:JRK393148 KBG392942:KBG393148 KLC392942:KLC393148 KUY392942:KUY393148 LEU392942:LEU393148 LOQ392942:LOQ393148 LYM392942:LYM393148 MII392942:MII393148 MSE392942:MSE393148 NCA392942:NCA393148 NLW392942:NLW393148 NVS392942:NVS393148 OFO392942:OFO393148 OPK392942:OPK393148 OZG392942:OZG393148 PJC392942:PJC393148 PSY392942:PSY393148 QCU392942:QCU393148 QMQ392942:QMQ393148 QWM392942:QWM393148 RGI392942:RGI393148 RQE392942:RQE393148 SAA392942:SAA393148 SJW392942:SJW393148 STS392942:STS393148 TDO392942:TDO393148 TNK392942:TNK393148 TXG392942:TXG393148 UHC392942:UHC393148 UQY392942:UQY393148 VAU392942:VAU393148 VKQ392942:VKQ393148 VUM392942:VUM393148 WEI392942:WEI393148 WOE392942:WOE393148 WYA392942:WYA393148 BT458478:BT458684 LO458478:LO458684 VK458478:VK458684 AFG458478:AFG458684 APC458478:APC458684 AYY458478:AYY458684 BIU458478:BIU458684 BSQ458478:BSQ458684 CCM458478:CCM458684 CMI458478:CMI458684 CWE458478:CWE458684 DGA458478:DGA458684 DPW458478:DPW458684 DZS458478:DZS458684 EJO458478:EJO458684 ETK458478:ETK458684 FDG458478:FDG458684 FNC458478:FNC458684 FWY458478:FWY458684 GGU458478:GGU458684 GQQ458478:GQQ458684 HAM458478:HAM458684 HKI458478:HKI458684 HUE458478:HUE458684 IEA458478:IEA458684 INW458478:INW458684 IXS458478:IXS458684 JHO458478:JHO458684 JRK458478:JRK458684 KBG458478:KBG458684 KLC458478:KLC458684 KUY458478:KUY458684 LEU458478:LEU458684 LOQ458478:LOQ458684 LYM458478:LYM458684 MII458478:MII458684 MSE458478:MSE458684 NCA458478:NCA458684 NLW458478:NLW458684 NVS458478:NVS458684 OFO458478:OFO458684 OPK458478:OPK458684 OZG458478:OZG458684 PJC458478:PJC458684 PSY458478:PSY458684 QCU458478:QCU458684 QMQ458478:QMQ458684 QWM458478:QWM458684 RGI458478:RGI458684 RQE458478:RQE458684 SAA458478:SAA458684 SJW458478:SJW458684 STS458478:STS458684 TDO458478:TDO458684 TNK458478:TNK458684 TXG458478:TXG458684 UHC458478:UHC458684 UQY458478:UQY458684 VAU458478:VAU458684 VKQ458478:VKQ458684 VUM458478:VUM458684 WEI458478:WEI458684 WOE458478:WOE458684 WYA458478:WYA458684 BT524014:BT524220 LO524014:LO524220 VK524014:VK524220 AFG524014:AFG524220 APC524014:APC524220 AYY524014:AYY524220 BIU524014:BIU524220 BSQ524014:BSQ524220 CCM524014:CCM524220 CMI524014:CMI524220 CWE524014:CWE524220 DGA524014:DGA524220 DPW524014:DPW524220 DZS524014:DZS524220 EJO524014:EJO524220 ETK524014:ETK524220 FDG524014:FDG524220 FNC524014:FNC524220 FWY524014:FWY524220 GGU524014:GGU524220 GQQ524014:GQQ524220 HAM524014:HAM524220 HKI524014:HKI524220 HUE524014:HUE524220 IEA524014:IEA524220 INW524014:INW524220 IXS524014:IXS524220 JHO524014:JHO524220 JRK524014:JRK524220 KBG524014:KBG524220 KLC524014:KLC524220 KUY524014:KUY524220 LEU524014:LEU524220 LOQ524014:LOQ524220 LYM524014:LYM524220 MII524014:MII524220 MSE524014:MSE524220 NCA524014:NCA524220 NLW524014:NLW524220 NVS524014:NVS524220 OFO524014:OFO524220 OPK524014:OPK524220 OZG524014:OZG524220 PJC524014:PJC524220 PSY524014:PSY524220 QCU524014:QCU524220 QMQ524014:QMQ524220 QWM524014:QWM524220 RGI524014:RGI524220 RQE524014:RQE524220 SAA524014:SAA524220 SJW524014:SJW524220 STS524014:STS524220 TDO524014:TDO524220 TNK524014:TNK524220 TXG524014:TXG524220 UHC524014:UHC524220 UQY524014:UQY524220 VAU524014:VAU524220 VKQ524014:VKQ524220 VUM524014:VUM524220 WEI524014:WEI524220 WOE524014:WOE524220 WYA524014:WYA524220 BT589550:BT589756 LO589550:LO589756 VK589550:VK589756 AFG589550:AFG589756 APC589550:APC589756 AYY589550:AYY589756 BIU589550:BIU589756 BSQ589550:BSQ589756 CCM589550:CCM589756 CMI589550:CMI589756 CWE589550:CWE589756 DGA589550:DGA589756 DPW589550:DPW589756 DZS589550:DZS589756 EJO589550:EJO589756 ETK589550:ETK589756 FDG589550:FDG589756 FNC589550:FNC589756 FWY589550:FWY589756 GGU589550:GGU589756 GQQ589550:GQQ589756 HAM589550:HAM589756 HKI589550:HKI589756 HUE589550:HUE589756 IEA589550:IEA589756 INW589550:INW589756 IXS589550:IXS589756 JHO589550:JHO589756 JRK589550:JRK589756 KBG589550:KBG589756 KLC589550:KLC589756 KUY589550:KUY589756 LEU589550:LEU589756 LOQ589550:LOQ589756 LYM589550:LYM589756 MII589550:MII589756 MSE589550:MSE589756 NCA589550:NCA589756 NLW589550:NLW589756 NVS589550:NVS589756 OFO589550:OFO589756 OPK589550:OPK589756 OZG589550:OZG589756 PJC589550:PJC589756 PSY589550:PSY589756 QCU589550:QCU589756 QMQ589550:QMQ589756 QWM589550:QWM589756 RGI589550:RGI589756 RQE589550:RQE589756 SAA589550:SAA589756 SJW589550:SJW589756 STS589550:STS589756 TDO589550:TDO589756 TNK589550:TNK589756 TXG589550:TXG589756 UHC589550:UHC589756 UQY589550:UQY589756 VAU589550:VAU589756 VKQ589550:VKQ589756 VUM589550:VUM589756 WEI589550:WEI589756 WOE589550:WOE589756 WYA589550:WYA589756 BT655086:BT655292 LO655086:LO655292 VK655086:VK655292 AFG655086:AFG655292 APC655086:APC655292 AYY655086:AYY655292 BIU655086:BIU655292 BSQ655086:BSQ655292 CCM655086:CCM655292 CMI655086:CMI655292 CWE655086:CWE655292 DGA655086:DGA655292 DPW655086:DPW655292 DZS655086:DZS655292 EJO655086:EJO655292 ETK655086:ETK655292 FDG655086:FDG655292 FNC655086:FNC655292 FWY655086:FWY655292 GGU655086:GGU655292 GQQ655086:GQQ655292 HAM655086:HAM655292 HKI655086:HKI655292 HUE655086:HUE655292 IEA655086:IEA655292 INW655086:INW655292 IXS655086:IXS655292 JHO655086:JHO655292 JRK655086:JRK655292 KBG655086:KBG655292 KLC655086:KLC655292 KUY655086:KUY655292 LEU655086:LEU655292 LOQ655086:LOQ655292 LYM655086:LYM655292 MII655086:MII655292 MSE655086:MSE655292 NCA655086:NCA655292 NLW655086:NLW655292 NVS655086:NVS655292 OFO655086:OFO655292 OPK655086:OPK655292 OZG655086:OZG655292 PJC655086:PJC655292 PSY655086:PSY655292 QCU655086:QCU655292 QMQ655086:QMQ655292 QWM655086:QWM655292 RGI655086:RGI655292 RQE655086:RQE655292 SAA655086:SAA655292 SJW655086:SJW655292 STS655086:STS655292 TDO655086:TDO655292 TNK655086:TNK655292 TXG655086:TXG655292 UHC655086:UHC655292 UQY655086:UQY655292 VAU655086:VAU655292 VKQ655086:VKQ655292 VUM655086:VUM655292 WEI655086:WEI655292 WOE655086:WOE655292 WYA655086:WYA655292 BT720622:BT720828 LO720622:LO720828 VK720622:VK720828 AFG720622:AFG720828 APC720622:APC720828 AYY720622:AYY720828 BIU720622:BIU720828 BSQ720622:BSQ720828 CCM720622:CCM720828 CMI720622:CMI720828 CWE720622:CWE720828 DGA720622:DGA720828 DPW720622:DPW720828 DZS720622:DZS720828 EJO720622:EJO720828 ETK720622:ETK720828 FDG720622:FDG720828 FNC720622:FNC720828 FWY720622:FWY720828 GGU720622:GGU720828 GQQ720622:GQQ720828 HAM720622:HAM720828 HKI720622:HKI720828 HUE720622:HUE720828 IEA720622:IEA720828 INW720622:INW720828 IXS720622:IXS720828 JHO720622:JHO720828 JRK720622:JRK720828 KBG720622:KBG720828 KLC720622:KLC720828 KUY720622:KUY720828 LEU720622:LEU720828 LOQ720622:LOQ720828 LYM720622:LYM720828 MII720622:MII720828 MSE720622:MSE720828 NCA720622:NCA720828 NLW720622:NLW720828 NVS720622:NVS720828 OFO720622:OFO720828 OPK720622:OPK720828 OZG720622:OZG720828 PJC720622:PJC720828 PSY720622:PSY720828 QCU720622:QCU720828 QMQ720622:QMQ720828 QWM720622:QWM720828 RGI720622:RGI720828 RQE720622:RQE720828 SAA720622:SAA720828 SJW720622:SJW720828 STS720622:STS720828 TDO720622:TDO720828 TNK720622:TNK720828 TXG720622:TXG720828 UHC720622:UHC720828 UQY720622:UQY720828 VAU720622:VAU720828 VKQ720622:VKQ720828 VUM720622:VUM720828 WEI720622:WEI720828 WOE720622:WOE720828 WYA720622:WYA720828 BT786158:BT786364 LO786158:LO786364 VK786158:VK786364 AFG786158:AFG786364 APC786158:APC786364 AYY786158:AYY786364 BIU786158:BIU786364 BSQ786158:BSQ786364 CCM786158:CCM786364 CMI786158:CMI786364 CWE786158:CWE786364 DGA786158:DGA786364 DPW786158:DPW786364 DZS786158:DZS786364 EJO786158:EJO786364 ETK786158:ETK786364 FDG786158:FDG786364 FNC786158:FNC786364 FWY786158:FWY786364 GGU786158:GGU786364 GQQ786158:GQQ786364 HAM786158:HAM786364 HKI786158:HKI786364 HUE786158:HUE786364 IEA786158:IEA786364 INW786158:INW786364 IXS786158:IXS786364 JHO786158:JHO786364 JRK786158:JRK786364 KBG786158:KBG786364 KLC786158:KLC786364 KUY786158:KUY786364 LEU786158:LEU786364 LOQ786158:LOQ786364 LYM786158:LYM786364 MII786158:MII786364 MSE786158:MSE786364 NCA786158:NCA786364 NLW786158:NLW786364 NVS786158:NVS786364 OFO786158:OFO786364 OPK786158:OPK786364 OZG786158:OZG786364 PJC786158:PJC786364 PSY786158:PSY786364 QCU786158:QCU786364 QMQ786158:QMQ786364 QWM786158:QWM786364 RGI786158:RGI786364 RQE786158:RQE786364 SAA786158:SAA786364 SJW786158:SJW786364 STS786158:STS786364 TDO786158:TDO786364 TNK786158:TNK786364 TXG786158:TXG786364 UHC786158:UHC786364 UQY786158:UQY786364 VAU786158:VAU786364 VKQ786158:VKQ786364 VUM786158:VUM786364 WEI786158:WEI786364 WOE786158:WOE786364 WYA786158:WYA786364 BT851694:BT851900 LO851694:LO851900 VK851694:VK851900 AFG851694:AFG851900 APC851694:APC851900 AYY851694:AYY851900 BIU851694:BIU851900 BSQ851694:BSQ851900 CCM851694:CCM851900 CMI851694:CMI851900 CWE851694:CWE851900 DGA851694:DGA851900 DPW851694:DPW851900 DZS851694:DZS851900 EJO851694:EJO851900 ETK851694:ETK851900 FDG851694:FDG851900 FNC851694:FNC851900 FWY851694:FWY851900 GGU851694:GGU851900 GQQ851694:GQQ851900 HAM851694:HAM851900 HKI851694:HKI851900 HUE851694:HUE851900 IEA851694:IEA851900 INW851694:INW851900 IXS851694:IXS851900 JHO851694:JHO851900 JRK851694:JRK851900 KBG851694:KBG851900 KLC851694:KLC851900 KUY851694:KUY851900 LEU851694:LEU851900 LOQ851694:LOQ851900 LYM851694:LYM851900 MII851694:MII851900 MSE851694:MSE851900 NCA851694:NCA851900 NLW851694:NLW851900 NVS851694:NVS851900 OFO851694:OFO851900 OPK851694:OPK851900 OZG851694:OZG851900 PJC851694:PJC851900 PSY851694:PSY851900 QCU851694:QCU851900 QMQ851694:QMQ851900 QWM851694:QWM851900 RGI851694:RGI851900 RQE851694:RQE851900 SAA851694:SAA851900 SJW851694:SJW851900 STS851694:STS851900 TDO851694:TDO851900 TNK851694:TNK851900 TXG851694:TXG851900 UHC851694:UHC851900 UQY851694:UQY851900 VAU851694:VAU851900 VKQ851694:VKQ851900 VUM851694:VUM851900 WEI851694:WEI851900 WOE851694:WOE851900 WYA851694:WYA851900 BT917230:BT917436 LO917230:LO917436 VK917230:VK917436 AFG917230:AFG917436 APC917230:APC917436 AYY917230:AYY917436 BIU917230:BIU917436 BSQ917230:BSQ917436 CCM917230:CCM917436 CMI917230:CMI917436 CWE917230:CWE917436 DGA917230:DGA917436 DPW917230:DPW917436 DZS917230:DZS917436 EJO917230:EJO917436 ETK917230:ETK917436 FDG917230:FDG917436 FNC917230:FNC917436 FWY917230:FWY917436 GGU917230:GGU917436 GQQ917230:GQQ917436 HAM917230:HAM917436 HKI917230:HKI917436 HUE917230:HUE917436 IEA917230:IEA917436 INW917230:INW917436 IXS917230:IXS917436 JHO917230:JHO917436 JRK917230:JRK917436 KBG917230:KBG917436 KLC917230:KLC917436 KUY917230:KUY917436 LEU917230:LEU917436 LOQ917230:LOQ917436 LYM917230:LYM917436 MII917230:MII917436 MSE917230:MSE917436 NCA917230:NCA917436 NLW917230:NLW917436 NVS917230:NVS917436 OFO917230:OFO917436 OPK917230:OPK917436 OZG917230:OZG917436 PJC917230:PJC917436 PSY917230:PSY917436 QCU917230:QCU917436 QMQ917230:QMQ917436 QWM917230:QWM917436 RGI917230:RGI917436 RQE917230:RQE917436 SAA917230:SAA917436 SJW917230:SJW917436 STS917230:STS917436 TDO917230:TDO917436 TNK917230:TNK917436 TXG917230:TXG917436 UHC917230:UHC917436 UQY917230:UQY917436 VAU917230:VAU917436 VKQ917230:VKQ917436 VUM917230:VUM917436 WEI917230:WEI917436 WOE917230:WOE917436 WYA917230:WYA917436 BT982766:BT982972 LO982766:LO982972 VK982766:VK982972 AFG982766:AFG982972 APC982766:APC982972 AYY982766:AYY982972 BIU982766:BIU982972 BSQ982766:BSQ982972 CCM982766:CCM982972 CMI982766:CMI982972 CWE982766:CWE982972 DGA982766:DGA982972 DPW982766:DPW982972 DZS982766:DZS982972 EJO982766:EJO982972 ETK982766:ETK982972 FDG982766:FDG982972 FNC982766:FNC982972 FWY982766:FWY982972 GGU982766:GGU982972 GQQ982766:GQQ982972 HAM982766:HAM982972 HKI982766:HKI982972 HUE982766:HUE982972 IEA982766:IEA982972 INW982766:INW982972 IXS982766:IXS982972 JHO982766:JHO982972 JRK982766:JRK982972 KBG982766:KBG982972 KLC982766:KLC982972 KUY982766:KUY982972 LEU982766:LEU982972 LOQ982766:LOQ982972 LYM982766:LYM982972 MII982766:MII982972 MSE982766:MSE982972 NCA982766:NCA982972 NLW982766:NLW982972 NVS982766:NVS982972 OFO982766:OFO982972 OPK982766:OPK982972 OZG982766:OZG982972 PJC982766:PJC982972 PSY982766:PSY982972 QCU982766:QCU982972 QMQ982766:QMQ982972 QWM982766:QWM982972 RGI982766:RGI982972 RQE982766:RQE982972 SAA982766:SAA982972 SJW982766:SJW982972 STS982766:STS982972 TDO982766:TDO982972 TNK982766:TNK982972 TXG982766:TXG982972 UHC982766:UHC982972 UQY982766:UQY982972 VAU982766:VAU982972 VKQ982766:VKQ982972 VUM982766:VUM982972 WEI982766:WEI982972 WOE982766:WOE982972 WYA982766:WYA982972 WYA5:WYA11 LO5:LO11 VK5:VK11 AFG5:AFG11 APC5:APC11 AYY5:AYY11 BIU5:BIU11 BSQ5:BSQ11 CCM5:CCM11 CMI5:CMI11 CWE5:CWE11 DGA5:DGA11 DPW5:DPW11 DZS5:DZS11 EJO5:EJO11 ETK5:ETK11 FDG5:FDG11 FNC5:FNC11 FWY5:FWY11 GGU5:GGU11 GQQ5:GQQ11 HAM5:HAM11 HKI5:HKI11 HUE5:HUE11 IEA5:IEA11 INW5:INW11 IXS5:IXS11 JHO5:JHO11 JRK5:JRK11 KBG5:KBG11 KLC5:KLC11 KUY5:KUY11 LEU5:LEU11 LOQ5:LOQ11 LYM5:LYM11 MII5:MII11 MSE5:MSE11 NCA5:NCA11 NLW5:NLW11 NVS5:NVS11 OFO5:OFO11 OPK5:OPK11 OZG5:OZG11 PJC5:PJC11 PSY5:PSY11 QCU5:QCU11 QMQ5:QMQ11 QWM5:QWM11 RGI5:RGI11 RQE5:RQE11 SAA5:SAA11 SJW5:SJW11 STS5:STS11 TDO5:TDO11 TNK5:TNK11 TXG5:TXG11 UHC5:UHC11 UQY5:UQY11 VAU5:VAU11 VKQ5:VKQ11 VUM5:VUM11 WEI5:WEI11 WOE5:WOE11">
      <formula1>0</formula1>
      <formula2>100000000</formula2>
    </dataValidation>
    <dataValidation type="whole" allowBlank="1" showInputMessage="1" showErrorMessage="1" sqref="BY65262:CC65468 LW65262:LW65468 VS65262:VS65468 AFO65262:AFO65468 APK65262:APK65468 AZG65262:AZG65468 BJC65262:BJC65468 BSY65262:BSY65468 CCU65262:CCU65468 CMQ65262:CMQ65468 CWM65262:CWM65468 DGI65262:DGI65468 DQE65262:DQE65468 EAA65262:EAA65468 EJW65262:EJW65468 ETS65262:ETS65468 FDO65262:FDO65468 FNK65262:FNK65468 FXG65262:FXG65468 GHC65262:GHC65468 GQY65262:GQY65468 HAU65262:HAU65468 HKQ65262:HKQ65468 HUM65262:HUM65468 IEI65262:IEI65468 IOE65262:IOE65468 IYA65262:IYA65468 JHW65262:JHW65468 JRS65262:JRS65468 KBO65262:KBO65468 KLK65262:KLK65468 KVG65262:KVG65468 LFC65262:LFC65468 LOY65262:LOY65468 LYU65262:LYU65468 MIQ65262:MIQ65468 MSM65262:MSM65468 NCI65262:NCI65468 NME65262:NME65468 NWA65262:NWA65468 OFW65262:OFW65468 OPS65262:OPS65468 OZO65262:OZO65468 PJK65262:PJK65468 PTG65262:PTG65468 QDC65262:QDC65468 QMY65262:QMY65468 QWU65262:QWU65468 RGQ65262:RGQ65468 RQM65262:RQM65468 SAI65262:SAI65468 SKE65262:SKE65468 SUA65262:SUA65468 TDW65262:TDW65468 TNS65262:TNS65468 TXO65262:TXO65468 UHK65262:UHK65468 URG65262:URG65468 VBC65262:VBC65468 VKY65262:VKY65468 VUU65262:VUU65468 WEQ65262:WEQ65468 WOM65262:WOM65468 WYI65262:WYI65468 BY130798:CC131004 LW130798:LW131004 VS130798:VS131004 AFO130798:AFO131004 APK130798:APK131004 AZG130798:AZG131004 BJC130798:BJC131004 BSY130798:BSY131004 CCU130798:CCU131004 CMQ130798:CMQ131004 CWM130798:CWM131004 DGI130798:DGI131004 DQE130798:DQE131004 EAA130798:EAA131004 EJW130798:EJW131004 ETS130798:ETS131004 FDO130798:FDO131004 FNK130798:FNK131004 FXG130798:FXG131004 GHC130798:GHC131004 GQY130798:GQY131004 HAU130798:HAU131004 HKQ130798:HKQ131004 HUM130798:HUM131004 IEI130798:IEI131004 IOE130798:IOE131004 IYA130798:IYA131004 JHW130798:JHW131004 JRS130798:JRS131004 KBO130798:KBO131004 KLK130798:KLK131004 KVG130798:KVG131004 LFC130798:LFC131004 LOY130798:LOY131004 LYU130798:LYU131004 MIQ130798:MIQ131004 MSM130798:MSM131004 NCI130798:NCI131004 NME130798:NME131004 NWA130798:NWA131004 OFW130798:OFW131004 OPS130798:OPS131004 OZO130798:OZO131004 PJK130798:PJK131004 PTG130798:PTG131004 QDC130798:QDC131004 QMY130798:QMY131004 QWU130798:QWU131004 RGQ130798:RGQ131004 RQM130798:RQM131004 SAI130798:SAI131004 SKE130798:SKE131004 SUA130798:SUA131004 TDW130798:TDW131004 TNS130798:TNS131004 TXO130798:TXO131004 UHK130798:UHK131004 URG130798:URG131004 VBC130798:VBC131004 VKY130798:VKY131004 VUU130798:VUU131004 WEQ130798:WEQ131004 WOM130798:WOM131004 WYI130798:WYI131004 BY196334:CC196540 LW196334:LW196540 VS196334:VS196540 AFO196334:AFO196540 APK196334:APK196540 AZG196334:AZG196540 BJC196334:BJC196540 BSY196334:BSY196540 CCU196334:CCU196540 CMQ196334:CMQ196540 CWM196334:CWM196540 DGI196334:DGI196540 DQE196334:DQE196540 EAA196334:EAA196540 EJW196334:EJW196540 ETS196334:ETS196540 FDO196334:FDO196540 FNK196334:FNK196540 FXG196334:FXG196540 GHC196334:GHC196540 GQY196334:GQY196540 HAU196334:HAU196540 HKQ196334:HKQ196540 HUM196334:HUM196540 IEI196334:IEI196540 IOE196334:IOE196540 IYA196334:IYA196540 JHW196334:JHW196540 JRS196334:JRS196540 KBO196334:KBO196540 KLK196334:KLK196540 KVG196334:KVG196540 LFC196334:LFC196540 LOY196334:LOY196540 LYU196334:LYU196540 MIQ196334:MIQ196540 MSM196334:MSM196540 NCI196334:NCI196540 NME196334:NME196540 NWA196334:NWA196540 OFW196334:OFW196540 OPS196334:OPS196540 OZO196334:OZO196540 PJK196334:PJK196540 PTG196334:PTG196540 QDC196334:QDC196540 QMY196334:QMY196540 QWU196334:QWU196540 RGQ196334:RGQ196540 RQM196334:RQM196540 SAI196334:SAI196540 SKE196334:SKE196540 SUA196334:SUA196540 TDW196334:TDW196540 TNS196334:TNS196540 TXO196334:TXO196540 UHK196334:UHK196540 URG196334:URG196540 VBC196334:VBC196540 VKY196334:VKY196540 VUU196334:VUU196540 WEQ196334:WEQ196540 WOM196334:WOM196540 WYI196334:WYI196540 BY261870:CC262076 LW261870:LW262076 VS261870:VS262076 AFO261870:AFO262076 APK261870:APK262076 AZG261870:AZG262076 BJC261870:BJC262076 BSY261870:BSY262076 CCU261870:CCU262076 CMQ261870:CMQ262076 CWM261870:CWM262076 DGI261870:DGI262076 DQE261870:DQE262076 EAA261870:EAA262076 EJW261870:EJW262076 ETS261870:ETS262076 FDO261870:FDO262076 FNK261870:FNK262076 FXG261870:FXG262076 GHC261870:GHC262076 GQY261870:GQY262076 HAU261870:HAU262076 HKQ261870:HKQ262076 HUM261870:HUM262076 IEI261870:IEI262076 IOE261870:IOE262076 IYA261870:IYA262076 JHW261870:JHW262076 JRS261870:JRS262076 KBO261870:KBO262076 KLK261870:KLK262076 KVG261870:KVG262076 LFC261870:LFC262076 LOY261870:LOY262076 LYU261870:LYU262076 MIQ261870:MIQ262076 MSM261870:MSM262076 NCI261870:NCI262076 NME261870:NME262076 NWA261870:NWA262076 OFW261870:OFW262076 OPS261870:OPS262076 OZO261870:OZO262076 PJK261870:PJK262076 PTG261870:PTG262076 QDC261870:QDC262076 QMY261870:QMY262076 QWU261870:QWU262076 RGQ261870:RGQ262076 RQM261870:RQM262076 SAI261870:SAI262076 SKE261870:SKE262076 SUA261870:SUA262076 TDW261870:TDW262076 TNS261870:TNS262076 TXO261870:TXO262076 UHK261870:UHK262076 URG261870:URG262076 VBC261870:VBC262076 VKY261870:VKY262076 VUU261870:VUU262076 WEQ261870:WEQ262076 WOM261870:WOM262076 WYI261870:WYI262076 BY327406:CC327612 LW327406:LW327612 VS327406:VS327612 AFO327406:AFO327612 APK327406:APK327612 AZG327406:AZG327612 BJC327406:BJC327612 BSY327406:BSY327612 CCU327406:CCU327612 CMQ327406:CMQ327612 CWM327406:CWM327612 DGI327406:DGI327612 DQE327406:DQE327612 EAA327406:EAA327612 EJW327406:EJW327612 ETS327406:ETS327612 FDO327406:FDO327612 FNK327406:FNK327612 FXG327406:FXG327612 GHC327406:GHC327612 GQY327406:GQY327612 HAU327406:HAU327612 HKQ327406:HKQ327612 HUM327406:HUM327612 IEI327406:IEI327612 IOE327406:IOE327612 IYA327406:IYA327612 JHW327406:JHW327612 JRS327406:JRS327612 KBO327406:KBO327612 KLK327406:KLK327612 KVG327406:KVG327612 LFC327406:LFC327612 LOY327406:LOY327612 LYU327406:LYU327612 MIQ327406:MIQ327612 MSM327406:MSM327612 NCI327406:NCI327612 NME327406:NME327612 NWA327406:NWA327612 OFW327406:OFW327612 OPS327406:OPS327612 OZO327406:OZO327612 PJK327406:PJK327612 PTG327406:PTG327612 QDC327406:QDC327612 QMY327406:QMY327612 QWU327406:QWU327612 RGQ327406:RGQ327612 RQM327406:RQM327612 SAI327406:SAI327612 SKE327406:SKE327612 SUA327406:SUA327612 TDW327406:TDW327612 TNS327406:TNS327612 TXO327406:TXO327612 UHK327406:UHK327612 URG327406:URG327612 VBC327406:VBC327612 VKY327406:VKY327612 VUU327406:VUU327612 WEQ327406:WEQ327612 WOM327406:WOM327612 WYI327406:WYI327612 BY392942:CC393148 LW392942:LW393148 VS392942:VS393148 AFO392942:AFO393148 APK392942:APK393148 AZG392942:AZG393148 BJC392942:BJC393148 BSY392942:BSY393148 CCU392942:CCU393148 CMQ392942:CMQ393148 CWM392942:CWM393148 DGI392942:DGI393148 DQE392942:DQE393148 EAA392942:EAA393148 EJW392942:EJW393148 ETS392942:ETS393148 FDO392942:FDO393148 FNK392942:FNK393148 FXG392942:FXG393148 GHC392942:GHC393148 GQY392942:GQY393148 HAU392942:HAU393148 HKQ392942:HKQ393148 HUM392942:HUM393148 IEI392942:IEI393148 IOE392942:IOE393148 IYA392942:IYA393148 JHW392942:JHW393148 JRS392942:JRS393148 KBO392942:KBO393148 KLK392942:KLK393148 KVG392942:KVG393148 LFC392942:LFC393148 LOY392942:LOY393148 LYU392942:LYU393148 MIQ392942:MIQ393148 MSM392942:MSM393148 NCI392942:NCI393148 NME392942:NME393148 NWA392942:NWA393148 OFW392942:OFW393148 OPS392942:OPS393148 OZO392942:OZO393148 PJK392942:PJK393148 PTG392942:PTG393148 QDC392942:QDC393148 QMY392942:QMY393148 QWU392942:QWU393148 RGQ392942:RGQ393148 RQM392942:RQM393148 SAI392942:SAI393148 SKE392942:SKE393148 SUA392942:SUA393148 TDW392942:TDW393148 TNS392942:TNS393148 TXO392942:TXO393148 UHK392942:UHK393148 URG392942:URG393148 VBC392942:VBC393148 VKY392942:VKY393148 VUU392942:VUU393148 WEQ392942:WEQ393148 WOM392942:WOM393148 WYI392942:WYI393148 BY458478:CC458684 LW458478:LW458684 VS458478:VS458684 AFO458478:AFO458684 APK458478:APK458684 AZG458478:AZG458684 BJC458478:BJC458684 BSY458478:BSY458684 CCU458478:CCU458684 CMQ458478:CMQ458684 CWM458478:CWM458684 DGI458478:DGI458684 DQE458478:DQE458684 EAA458478:EAA458684 EJW458478:EJW458684 ETS458478:ETS458684 FDO458478:FDO458684 FNK458478:FNK458684 FXG458478:FXG458684 GHC458478:GHC458684 GQY458478:GQY458684 HAU458478:HAU458684 HKQ458478:HKQ458684 HUM458478:HUM458684 IEI458478:IEI458684 IOE458478:IOE458684 IYA458478:IYA458684 JHW458478:JHW458684 JRS458478:JRS458684 KBO458478:KBO458684 KLK458478:KLK458684 KVG458478:KVG458684 LFC458478:LFC458684 LOY458478:LOY458684 LYU458478:LYU458684 MIQ458478:MIQ458684 MSM458478:MSM458684 NCI458478:NCI458684 NME458478:NME458684 NWA458478:NWA458684 OFW458478:OFW458684 OPS458478:OPS458684 OZO458478:OZO458684 PJK458478:PJK458684 PTG458478:PTG458684 QDC458478:QDC458684 QMY458478:QMY458684 QWU458478:QWU458684 RGQ458478:RGQ458684 RQM458478:RQM458684 SAI458478:SAI458684 SKE458478:SKE458684 SUA458478:SUA458684 TDW458478:TDW458684 TNS458478:TNS458684 TXO458478:TXO458684 UHK458478:UHK458684 URG458478:URG458684 VBC458478:VBC458684 VKY458478:VKY458684 VUU458478:VUU458684 WEQ458478:WEQ458684 WOM458478:WOM458684 WYI458478:WYI458684 BY524014:CC524220 LW524014:LW524220 VS524014:VS524220 AFO524014:AFO524220 APK524014:APK524220 AZG524014:AZG524220 BJC524014:BJC524220 BSY524014:BSY524220 CCU524014:CCU524220 CMQ524014:CMQ524220 CWM524014:CWM524220 DGI524014:DGI524220 DQE524014:DQE524220 EAA524014:EAA524220 EJW524014:EJW524220 ETS524014:ETS524220 FDO524014:FDO524220 FNK524014:FNK524220 FXG524014:FXG524220 GHC524014:GHC524220 GQY524014:GQY524220 HAU524014:HAU524220 HKQ524014:HKQ524220 HUM524014:HUM524220 IEI524014:IEI524220 IOE524014:IOE524220 IYA524014:IYA524220 JHW524014:JHW524220 JRS524014:JRS524220 KBO524014:KBO524220 KLK524014:KLK524220 KVG524014:KVG524220 LFC524014:LFC524220 LOY524014:LOY524220 LYU524014:LYU524220 MIQ524014:MIQ524220 MSM524014:MSM524220 NCI524014:NCI524220 NME524014:NME524220 NWA524014:NWA524220 OFW524014:OFW524220 OPS524014:OPS524220 OZO524014:OZO524220 PJK524014:PJK524220 PTG524014:PTG524220 QDC524014:QDC524220 QMY524014:QMY524220 QWU524014:QWU524220 RGQ524014:RGQ524220 RQM524014:RQM524220 SAI524014:SAI524220 SKE524014:SKE524220 SUA524014:SUA524220 TDW524014:TDW524220 TNS524014:TNS524220 TXO524014:TXO524220 UHK524014:UHK524220 URG524014:URG524220 VBC524014:VBC524220 VKY524014:VKY524220 VUU524014:VUU524220 WEQ524014:WEQ524220 WOM524014:WOM524220 WYI524014:WYI524220 BY589550:CC589756 LW589550:LW589756 VS589550:VS589756 AFO589550:AFO589756 APK589550:APK589756 AZG589550:AZG589756 BJC589550:BJC589756 BSY589550:BSY589756 CCU589550:CCU589756 CMQ589550:CMQ589756 CWM589550:CWM589756 DGI589550:DGI589756 DQE589550:DQE589756 EAA589550:EAA589756 EJW589550:EJW589756 ETS589550:ETS589756 FDO589550:FDO589756 FNK589550:FNK589756 FXG589550:FXG589756 GHC589550:GHC589756 GQY589550:GQY589756 HAU589550:HAU589756 HKQ589550:HKQ589756 HUM589550:HUM589756 IEI589550:IEI589756 IOE589550:IOE589756 IYA589550:IYA589756 JHW589550:JHW589756 JRS589550:JRS589756 KBO589550:KBO589756 KLK589550:KLK589756 KVG589550:KVG589756 LFC589550:LFC589756 LOY589550:LOY589756 LYU589550:LYU589756 MIQ589550:MIQ589756 MSM589550:MSM589756 NCI589550:NCI589756 NME589550:NME589756 NWA589550:NWA589756 OFW589550:OFW589756 OPS589550:OPS589756 OZO589550:OZO589756 PJK589550:PJK589756 PTG589550:PTG589756 QDC589550:QDC589756 QMY589550:QMY589756 QWU589550:QWU589756 RGQ589550:RGQ589756 RQM589550:RQM589756 SAI589550:SAI589756 SKE589550:SKE589756 SUA589550:SUA589756 TDW589550:TDW589756 TNS589550:TNS589756 TXO589550:TXO589756 UHK589550:UHK589756 URG589550:URG589756 VBC589550:VBC589756 VKY589550:VKY589756 VUU589550:VUU589756 WEQ589550:WEQ589756 WOM589550:WOM589756 WYI589550:WYI589756 BY655086:CC655292 LW655086:LW655292 VS655086:VS655292 AFO655086:AFO655292 APK655086:APK655292 AZG655086:AZG655292 BJC655086:BJC655292 BSY655086:BSY655292 CCU655086:CCU655292 CMQ655086:CMQ655292 CWM655086:CWM655292 DGI655086:DGI655292 DQE655086:DQE655292 EAA655086:EAA655292 EJW655086:EJW655292 ETS655086:ETS655292 FDO655086:FDO655292 FNK655086:FNK655292 FXG655086:FXG655292 GHC655086:GHC655292 GQY655086:GQY655292 HAU655086:HAU655292 HKQ655086:HKQ655292 HUM655086:HUM655292 IEI655086:IEI655292 IOE655086:IOE655292 IYA655086:IYA655292 JHW655086:JHW655292 JRS655086:JRS655292 KBO655086:KBO655292 KLK655086:KLK655292 KVG655086:KVG655292 LFC655086:LFC655292 LOY655086:LOY655292 LYU655086:LYU655292 MIQ655086:MIQ655292 MSM655086:MSM655292 NCI655086:NCI655292 NME655086:NME655292 NWA655086:NWA655292 OFW655086:OFW655292 OPS655086:OPS655292 OZO655086:OZO655292 PJK655086:PJK655292 PTG655086:PTG655292 QDC655086:QDC655292 QMY655086:QMY655292 QWU655086:QWU655292 RGQ655086:RGQ655292 RQM655086:RQM655292 SAI655086:SAI655292 SKE655086:SKE655292 SUA655086:SUA655292 TDW655086:TDW655292 TNS655086:TNS655292 TXO655086:TXO655292 UHK655086:UHK655292 URG655086:URG655292 VBC655086:VBC655292 VKY655086:VKY655292 VUU655086:VUU655292 WEQ655086:WEQ655292 WOM655086:WOM655292 WYI655086:WYI655292 BY720622:CC720828 LW720622:LW720828 VS720622:VS720828 AFO720622:AFO720828 APK720622:APK720828 AZG720622:AZG720828 BJC720622:BJC720828 BSY720622:BSY720828 CCU720622:CCU720828 CMQ720622:CMQ720828 CWM720622:CWM720828 DGI720622:DGI720828 DQE720622:DQE720828 EAA720622:EAA720828 EJW720622:EJW720828 ETS720622:ETS720828 FDO720622:FDO720828 FNK720622:FNK720828 FXG720622:FXG720828 GHC720622:GHC720828 GQY720622:GQY720828 HAU720622:HAU720828 HKQ720622:HKQ720828 HUM720622:HUM720828 IEI720622:IEI720828 IOE720622:IOE720828 IYA720622:IYA720828 JHW720622:JHW720828 JRS720622:JRS720828 KBO720622:KBO720828 KLK720622:KLK720828 KVG720622:KVG720828 LFC720622:LFC720828 LOY720622:LOY720828 LYU720622:LYU720828 MIQ720622:MIQ720828 MSM720622:MSM720828 NCI720622:NCI720828 NME720622:NME720828 NWA720622:NWA720828 OFW720622:OFW720828 OPS720622:OPS720828 OZO720622:OZO720828 PJK720622:PJK720828 PTG720622:PTG720828 QDC720622:QDC720828 QMY720622:QMY720828 QWU720622:QWU720828 RGQ720622:RGQ720828 RQM720622:RQM720828 SAI720622:SAI720828 SKE720622:SKE720828 SUA720622:SUA720828 TDW720622:TDW720828 TNS720622:TNS720828 TXO720622:TXO720828 UHK720622:UHK720828 URG720622:URG720828 VBC720622:VBC720828 VKY720622:VKY720828 VUU720622:VUU720828 WEQ720622:WEQ720828 WOM720622:WOM720828 WYI720622:WYI720828 BY786158:CC786364 LW786158:LW786364 VS786158:VS786364 AFO786158:AFO786364 APK786158:APK786364 AZG786158:AZG786364 BJC786158:BJC786364 BSY786158:BSY786364 CCU786158:CCU786364 CMQ786158:CMQ786364 CWM786158:CWM786364 DGI786158:DGI786364 DQE786158:DQE786364 EAA786158:EAA786364 EJW786158:EJW786364 ETS786158:ETS786364 FDO786158:FDO786364 FNK786158:FNK786364 FXG786158:FXG786364 GHC786158:GHC786364 GQY786158:GQY786364 HAU786158:HAU786364 HKQ786158:HKQ786364 HUM786158:HUM786364 IEI786158:IEI786364 IOE786158:IOE786364 IYA786158:IYA786364 JHW786158:JHW786364 JRS786158:JRS786364 KBO786158:KBO786364 KLK786158:KLK786364 KVG786158:KVG786364 LFC786158:LFC786364 LOY786158:LOY786364 LYU786158:LYU786364 MIQ786158:MIQ786364 MSM786158:MSM786364 NCI786158:NCI786364 NME786158:NME786364 NWA786158:NWA786364 OFW786158:OFW786364 OPS786158:OPS786364 OZO786158:OZO786364 PJK786158:PJK786364 PTG786158:PTG786364 QDC786158:QDC786364 QMY786158:QMY786364 QWU786158:QWU786364 RGQ786158:RGQ786364 RQM786158:RQM786364 SAI786158:SAI786364 SKE786158:SKE786364 SUA786158:SUA786364 TDW786158:TDW786364 TNS786158:TNS786364 TXO786158:TXO786364 UHK786158:UHK786364 URG786158:URG786364 VBC786158:VBC786364 VKY786158:VKY786364 VUU786158:VUU786364 WEQ786158:WEQ786364 WOM786158:WOM786364 WYI786158:WYI786364 BY851694:CC851900 LW851694:LW851900 VS851694:VS851900 AFO851694:AFO851900 APK851694:APK851900 AZG851694:AZG851900 BJC851694:BJC851900 BSY851694:BSY851900 CCU851694:CCU851900 CMQ851694:CMQ851900 CWM851694:CWM851900 DGI851694:DGI851900 DQE851694:DQE851900 EAA851694:EAA851900 EJW851694:EJW851900 ETS851694:ETS851900 FDO851694:FDO851900 FNK851694:FNK851900 FXG851694:FXG851900 GHC851694:GHC851900 GQY851694:GQY851900 HAU851694:HAU851900 HKQ851694:HKQ851900 HUM851694:HUM851900 IEI851694:IEI851900 IOE851694:IOE851900 IYA851694:IYA851900 JHW851694:JHW851900 JRS851694:JRS851900 KBO851694:KBO851900 KLK851694:KLK851900 KVG851694:KVG851900 LFC851694:LFC851900 LOY851694:LOY851900 LYU851694:LYU851900 MIQ851694:MIQ851900 MSM851694:MSM851900 NCI851694:NCI851900 NME851694:NME851900 NWA851694:NWA851900 OFW851694:OFW851900 OPS851694:OPS851900 OZO851694:OZO851900 PJK851694:PJK851900 PTG851694:PTG851900 QDC851694:QDC851900 QMY851694:QMY851900 QWU851694:QWU851900 RGQ851694:RGQ851900 RQM851694:RQM851900 SAI851694:SAI851900 SKE851694:SKE851900 SUA851694:SUA851900 TDW851694:TDW851900 TNS851694:TNS851900 TXO851694:TXO851900 UHK851694:UHK851900 URG851694:URG851900 VBC851694:VBC851900 VKY851694:VKY851900 VUU851694:VUU851900 WEQ851694:WEQ851900 WOM851694:WOM851900 WYI851694:WYI851900 BY917230:CC917436 LW917230:LW917436 VS917230:VS917436 AFO917230:AFO917436 APK917230:APK917436 AZG917230:AZG917436 BJC917230:BJC917436 BSY917230:BSY917436 CCU917230:CCU917436 CMQ917230:CMQ917436 CWM917230:CWM917436 DGI917230:DGI917436 DQE917230:DQE917436 EAA917230:EAA917436 EJW917230:EJW917436 ETS917230:ETS917436 FDO917230:FDO917436 FNK917230:FNK917436 FXG917230:FXG917436 GHC917230:GHC917436 GQY917230:GQY917436 HAU917230:HAU917436 HKQ917230:HKQ917436 HUM917230:HUM917436 IEI917230:IEI917436 IOE917230:IOE917436 IYA917230:IYA917436 JHW917230:JHW917436 JRS917230:JRS917436 KBO917230:KBO917436 KLK917230:KLK917436 KVG917230:KVG917436 LFC917230:LFC917436 LOY917230:LOY917436 LYU917230:LYU917436 MIQ917230:MIQ917436 MSM917230:MSM917436 NCI917230:NCI917436 NME917230:NME917436 NWA917230:NWA917436 OFW917230:OFW917436 OPS917230:OPS917436 OZO917230:OZO917436 PJK917230:PJK917436 PTG917230:PTG917436 QDC917230:QDC917436 QMY917230:QMY917436 QWU917230:QWU917436 RGQ917230:RGQ917436 RQM917230:RQM917436 SAI917230:SAI917436 SKE917230:SKE917436 SUA917230:SUA917436 TDW917230:TDW917436 TNS917230:TNS917436 TXO917230:TXO917436 UHK917230:UHK917436 URG917230:URG917436 VBC917230:VBC917436 VKY917230:VKY917436 VUU917230:VUU917436 WEQ917230:WEQ917436 WOM917230:WOM917436 WYI917230:WYI917436 BY982766:CC982972 LW982766:LW982972 VS982766:VS982972 AFO982766:AFO982972 APK982766:APK982972 AZG982766:AZG982972 BJC982766:BJC982972 BSY982766:BSY982972 CCU982766:CCU982972 CMQ982766:CMQ982972 CWM982766:CWM982972 DGI982766:DGI982972 DQE982766:DQE982972 EAA982766:EAA982972 EJW982766:EJW982972 ETS982766:ETS982972 FDO982766:FDO982972 FNK982766:FNK982972 FXG982766:FXG982972 GHC982766:GHC982972 GQY982766:GQY982972 HAU982766:HAU982972 HKQ982766:HKQ982972 HUM982766:HUM982972 IEI982766:IEI982972 IOE982766:IOE982972 IYA982766:IYA982972 JHW982766:JHW982972 JRS982766:JRS982972 KBO982766:KBO982972 KLK982766:KLK982972 KVG982766:KVG982972 LFC982766:LFC982972 LOY982766:LOY982972 LYU982766:LYU982972 MIQ982766:MIQ982972 MSM982766:MSM982972 NCI982766:NCI982972 NME982766:NME982972 NWA982766:NWA982972 OFW982766:OFW982972 OPS982766:OPS982972 OZO982766:OZO982972 PJK982766:PJK982972 PTG982766:PTG982972 QDC982766:QDC982972 QMY982766:QMY982972 QWU982766:QWU982972 RGQ982766:RGQ982972 RQM982766:RQM982972 SAI982766:SAI982972 SKE982766:SKE982972 SUA982766:SUA982972 TDW982766:TDW982972 TNS982766:TNS982972 TXO982766:TXO982972 UHK982766:UHK982972 URG982766:URG982972 VBC982766:VBC982972 VKY982766:VKY982972 VUU982766:VUU982972 WEQ982766:WEQ982972 WOM982766:WOM982972 WYI982766:WYI982972 WOM5:WOM11 WYI5:WYI11 LW5:LW11 VS5:VS11 AFO5:AFO11 APK5:APK11 AZG5:AZG11 BJC5:BJC11 BSY5:BSY11 CCU5:CCU11 CMQ5:CMQ11 CWM5:CWM11 DGI5:DGI11 DQE5:DQE11 EAA5:EAA11 EJW5:EJW11 ETS5:ETS11 FDO5:FDO11 FNK5:FNK11 FXG5:FXG11 GHC5:GHC11 GQY5:GQY11 HAU5:HAU11 HKQ5:HKQ11 HUM5:HUM11 IEI5:IEI11 IOE5:IOE11 IYA5:IYA11 JHW5:JHW11 JRS5:JRS11 KBO5:KBO11 KLK5:KLK11 KVG5:KVG11 LFC5:LFC11 LOY5:LOY11 LYU5:LYU11 MIQ5:MIQ11 MSM5:MSM11 NCI5:NCI11 NME5:NME11 NWA5:NWA11 OFW5:OFW11 OPS5:OPS11 OZO5:OZO11 PJK5:PJK11 PTG5:PTG11 QDC5:QDC11 QMY5:QMY11 QWU5:QWU11 RGQ5:RGQ11 RQM5:RQM11 SAI5:SAI11 SKE5:SKE11 SUA5:SUA11 TDW5:TDW11 TNS5:TNS11 TXO5:TXO11 UHK5:UHK11 URG5:URG11 VBC5:VBC11 VKY5:VKY11 VUU5:VUU11 WEQ5:WEQ11">
      <formula1>0</formula1>
      <formula2>1000000000000000</formula2>
    </dataValidation>
    <dataValidation type="whole" allowBlank="1" showInputMessage="1" showErrorMessage="1" sqref="CD65262:CD65468 LX65262:LX65468 VT65262:VT65468 AFP65262:AFP65468 APL65262:APL65468 AZH65262:AZH65468 BJD65262:BJD65468 BSZ65262:BSZ65468 CCV65262:CCV65468 CMR65262:CMR65468 CWN65262:CWN65468 DGJ65262:DGJ65468 DQF65262:DQF65468 EAB65262:EAB65468 EJX65262:EJX65468 ETT65262:ETT65468 FDP65262:FDP65468 FNL65262:FNL65468 FXH65262:FXH65468 GHD65262:GHD65468 GQZ65262:GQZ65468 HAV65262:HAV65468 HKR65262:HKR65468 HUN65262:HUN65468 IEJ65262:IEJ65468 IOF65262:IOF65468 IYB65262:IYB65468 JHX65262:JHX65468 JRT65262:JRT65468 KBP65262:KBP65468 KLL65262:KLL65468 KVH65262:KVH65468 LFD65262:LFD65468 LOZ65262:LOZ65468 LYV65262:LYV65468 MIR65262:MIR65468 MSN65262:MSN65468 NCJ65262:NCJ65468 NMF65262:NMF65468 NWB65262:NWB65468 OFX65262:OFX65468 OPT65262:OPT65468 OZP65262:OZP65468 PJL65262:PJL65468 PTH65262:PTH65468 QDD65262:QDD65468 QMZ65262:QMZ65468 QWV65262:QWV65468 RGR65262:RGR65468 RQN65262:RQN65468 SAJ65262:SAJ65468 SKF65262:SKF65468 SUB65262:SUB65468 TDX65262:TDX65468 TNT65262:TNT65468 TXP65262:TXP65468 UHL65262:UHL65468 URH65262:URH65468 VBD65262:VBD65468 VKZ65262:VKZ65468 VUV65262:VUV65468 WER65262:WER65468 WON65262:WON65468 WYJ65262:WYJ65468 CD130798:CD131004 LX130798:LX131004 VT130798:VT131004 AFP130798:AFP131004 APL130798:APL131004 AZH130798:AZH131004 BJD130798:BJD131004 BSZ130798:BSZ131004 CCV130798:CCV131004 CMR130798:CMR131004 CWN130798:CWN131004 DGJ130798:DGJ131004 DQF130798:DQF131004 EAB130798:EAB131004 EJX130798:EJX131004 ETT130798:ETT131004 FDP130798:FDP131004 FNL130798:FNL131004 FXH130798:FXH131004 GHD130798:GHD131004 GQZ130798:GQZ131004 HAV130798:HAV131004 HKR130798:HKR131004 HUN130798:HUN131004 IEJ130798:IEJ131004 IOF130798:IOF131004 IYB130798:IYB131004 JHX130798:JHX131004 JRT130798:JRT131004 KBP130798:KBP131004 KLL130798:KLL131004 KVH130798:KVH131004 LFD130798:LFD131004 LOZ130798:LOZ131004 LYV130798:LYV131004 MIR130798:MIR131004 MSN130798:MSN131004 NCJ130798:NCJ131004 NMF130798:NMF131004 NWB130798:NWB131004 OFX130798:OFX131004 OPT130798:OPT131004 OZP130798:OZP131004 PJL130798:PJL131004 PTH130798:PTH131004 QDD130798:QDD131004 QMZ130798:QMZ131004 QWV130798:QWV131004 RGR130798:RGR131004 RQN130798:RQN131004 SAJ130798:SAJ131004 SKF130798:SKF131004 SUB130798:SUB131004 TDX130798:TDX131004 TNT130798:TNT131004 TXP130798:TXP131004 UHL130798:UHL131004 URH130798:URH131004 VBD130798:VBD131004 VKZ130798:VKZ131004 VUV130798:VUV131004 WER130798:WER131004 WON130798:WON131004 WYJ130798:WYJ131004 CD196334:CD196540 LX196334:LX196540 VT196334:VT196540 AFP196334:AFP196540 APL196334:APL196540 AZH196334:AZH196540 BJD196334:BJD196540 BSZ196334:BSZ196540 CCV196334:CCV196540 CMR196334:CMR196540 CWN196334:CWN196540 DGJ196334:DGJ196540 DQF196334:DQF196540 EAB196334:EAB196540 EJX196334:EJX196540 ETT196334:ETT196540 FDP196334:FDP196540 FNL196334:FNL196540 FXH196334:FXH196540 GHD196334:GHD196540 GQZ196334:GQZ196540 HAV196334:HAV196540 HKR196334:HKR196540 HUN196334:HUN196540 IEJ196334:IEJ196540 IOF196334:IOF196540 IYB196334:IYB196540 JHX196334:JHX196540 JRT196334:JRT196540 KBP196334:KBP196540 KLL196334:KLL196540 KVH196334:KVH196540 LFD196334:LFD196540 LOZ196334:LOZ196540 LYV196334:LYV196540 MIR196334:MIR196540 MSN196334:MSN196540 NCJ196334:NCJ196540 NMF196334:NMF196540 NWB196334:NWB196540 OFX196334:OFX196540 OPT196334:OPT196540 OZP196334:OZP196540 PJL196334:PJL196540 PTH196334:PTH196540 QDD196334:QDD196540 QMZ196334:QMZ196540 QWV196334:QWV196540 RGR196334:RGR196540 RQN196334:RQN196540 SAJ196334:SAJ196540 SKF196334:SKF196540 SUB196334:SUB196540 TDX196334:TDX196540 TNT196334:TNT196540 TXP196334:TXP196540 UHL196334:UHL196540 URH196334:URH196540 VBD196334:VBD196540 VKZ196334:VKZ196540 VUV196334:VUV196540 WER196334:WER196540 WON196334:WON196540 WYJ196334:WYJ196540 CD261870:CD262076 LX261870:LX262076 VT261870:VT262076 AFP261870:AFP262076 APL261870:APL262076 AZH261870:AZH262076 BJD261870:BJD262076 BSZ261870:BSZ262076 CCV261870:CCV262076 CMR261870:CMR262076 CWN261870:CWN262076 DGJ261870:DGJ262076 DQF261870:DQF262076 EAB261870:EAB262076 EJX261870:EJX262076 ETT261870:ETT262076 FDP261870:FDP262076 FNL261870:FNL262076 FXH261870:FXH262076 GHD261870:GHD262076 GQZ261870:GQZ262076 HAV261870:HAV262076 HKR261870:HKR262076 HUN261870:HUN262076 IEJ261870:IEJ262076 IOF261870:IOF262076 IYB261870:IYB262076 JHX261870:JHX262076 JRT261870:JRT262076 KBP261870:KBP262076 KLL261870:KLL262076 KVH261870:KVH262076 LFD261870:LFD262076 LOZ261870:LOZ262076 LYV261870:LYV262076 MIR261870:MIR262076 MSN261870:MSN262076 NCJ261870:NCJ262076 NMF261870:NMF262076 NWB261870:NWB262076 OFX261870:OFX262076 OPT261870:OPT262076 OZP261870:OZP262076 PJL261870:PJL262076 PTH261870:PTH262076 QDD261870:QDD262076 QMZ261870:QMZ262076 QWV261870:QWV262076 RGR261870:RGR262076 RQN261870:RQN262076 SAJ261870:SAJ262076 SKF261870:SKF262076 SUB261870:SUB262076 TDX261870:TDX262076 TNT261870:TNT262076 TXP261870:TXP262076 UHL261870:UHL262076 URH261870:URH262076 VBD261870:VBD262076 VKZ261870:VKZ262076 VUV261870:VUV262076 WER261870:WER262076 WON261870:WON262076 WYJ261870:WYJ262076 CD327406:CD327612 LX327406:LX327612 VT327406:VT327612 AFP327406:AFP327612 APL327406:APL327612 AZH327406:AZH327612 BJD327406:BJD327612 BSZ327406:BSZ327612 CCV327406:CCV327612 CMR327406:CMR327612 CWN327406:CWN327612 DGJ327406:DGJ327612 DQF327406:DQF327612 EAB327406:EAB327612 EJX327406:EJX327612 ETT327406:ETT327612 FDP327406:FDP327612 FNL327406:FNL327612 FXH327406:FXH327612 GHD327406:GHD327612 GQZ327406:GQZ327612 HAV327406:HAV327612 HKR327406:HKR327612 HUN327406:HUN327612 IEJ327406:IEJ327612 IOF327406:IOF327612 IYB327406:IYB327612 JHX327406:JHX327612 JRT327406:JRT327612 KBP327406:KBP327612 KLL327406:KLL327612 KVH327406:KVH327612 LFD327406:LFD327612 LOZ327406:LOZ327612 LYV327406:LYV327612 MIR327406:MIR327612 MSN327406:MSN327612 NCJ327406:NCJ327612 NMF327406:NMF327612 NWB327406:NWB327612 OFX327406:OFX327612 OPT327406:OPT327612 OZP327406:OZP327612 PJL327406:PJL327612 PTH327406:PTH327612 QDD327406:QDD327612 QMZ327406:QMZ327612 QWV327406:QWV327612 RGR327406:RGR327612 RQN327406:RQN327612 SAJ327406:SAJ327612 SKF327406:SKF327612 SUB327406:SUB327612 TDX327406:TDX327612 TNT327406:TNT327612 TXP327406:TXP327612 UHL327406:UHL327612 URH327406:URH327612 VBD327406:VBD327612 VKZ327406:VKZ327612 VUV327406:VUV327612 WER327406:WER327612 WON327406:WON327612 WYJ327406:WYJ327612 CD392942:CD393148 LX392942:LX393148 VT392942:VT393148 AFP392942:AFP393148 APL392942:APL393148 AZH392942:AZH393148 BJD392942:BJD393148 BSZ392942:BSZ393148 CCV392942:CCV393148 CMR392942:CMR393148 CWN392942:CWN393148 DGJ392942:DGJ393148 DQF392942:DQF393148 EAB392942:EAB393148 EJX392942:EJX393148 ETT392942:ETT393148 FDP392942:FDP393148 FNL392942:FNL393148 FXH392942:FXH393148 GHD392942:GHD393148 GQZ392942:GQZ393148 HAV392942:HAV393148 HKR392942:HKR393148 HUN392942:HUN393148 IEJ392942:IEJ393148 IOF392942:IOF393148 IYB392942:IYB393148 JHX392942:JHX393148 JRT392942:JRT393148 KBP392942:KBP393148 KLL392942:KLL393148 KVH392942:KVH393148 LFD392942:LFD393148 LOZ392942:LOZ393148 LYV392942:LYV393148 MIR392942:MIR393148 MSN392942:MSN393148 NCJ392942:NCJ393148 NMF392942:NMF393148 NWB392942:NWB393148 OFX392942:OFX393148 OPT392942:OPT393148 OZP392942:OZP393148 PJL392942:PJL393148 PTH392942:PTH393148 QDD392942:QDD393148 QMZ392942:QMZ393148 QWV392942:QWV393148 RGR392942:RGR393148 RQN392942:RQN393148 SAJ392942:SAJ393148 SKF392942:SKF393148 SUB392942:SUB393148 TDX392942:TDX393148 TNT392942:TNT393148 TXP392942:TXP393148 UHL392942:UHL393148 URH392942:URH393148 VBD392942:VBD393148 VKZ392942:VKZ393148 VUV392942:VUV393148 WER392942:WER393148 WON392942:WON393148 WYJ392942:WYJ393148 CD458478:CD458684 LX458478:LX458684 VT458478:VT458684 AFP458478:AFP458684 APL458478:APL458684 AZH458478:AZH458684 BJD458478:BJD458684 BSZ458478:BSZ458684 CCV458478:CCV458684 CMR458478:CMR458684 CWN458478:CWN458684 DGJ458478:DGJ458684 DQF458478:DQF458684 EAB458478:EAB458684 EJX458478:EJX458684 ETT458478:ETT458684 FDP458478:FDP458684 FNL458478:FNL458684 FXH458478:FXH458684 GHD458478:GHD458684 GQZ458478:GQZ458684 HAV458478:HAV458684 HKR458478:HKR458684 HUN458478:HUN458684 IEJ458478:IEJ458684 IOF458478:IOF458684 IYB458478:IYB458684 JHX458478:JHX458684 JRT458478:JRT458684 KBP458478:KBP458684 KLL458478:KLL458684 KVH458478:KVH458684 LFD458478:LFD458684 LOZ458478:LOZ458684 LYV458478:LYV458684 MIR458478:MIR458684 MSN458478:MSN458684 NCJ458478:NCJ458684 NMF458478:NMF458684 NWB458478:NWB458684 OFX458478:OFX458684 OPT458478:OPT458684 OZP458478:OZP458684 PJL458478:PJL458684 PTH458478:PTH458684 QDD458478:QDD458684 QMZ458478:QMZ458684 QWV458478:QWV458684 RGR458478:RGR458684 RQN458478:RQN458684 SAJ458478:SAJ458684 SKF458478:SKF458684 SUB458478:SUB458684 TDX458478:TDX458684 TNT458478:TNT458684 TXP458478:TXP458684 UHL458478:UHL458684 URH458478:URH458684 VBD458478:VBD458684 VKZ458478:VKZ458684 VUV458478:VUV458684 WER458478:WER458684 WON458478:WON458684 WYJ458478:WYJ458684 CD524014:CD524220 LX524014:LX524220 VT524014:VT524220 AFP524014:AFP524220 APL524014:APL524220 AZH524014:AZH524220 BJD524014:BJD524220 BSZ524014:BSZ524220 CCV524014:CCV524220 CMR524014:CMR524220 CWN524014:CWN524220 DGJ524014:DGJ524220 DQF524014:DQF524220 EAB524014:EAB524220 EJX524014:EJX524220 ETT524014:ETT524220 FDP524014:FDP524220 FNL524014:FNL524220 FXH524014:FXH524220 GHD524014:GHD524220 GQZ524014:GQZ524220 HAV524014:HAV524220 HKR524014:HKR524220 HUN524014:HUN524220 IEJ524014:IEJ524220 IOF524014:IOF524220 IYB524014:IYB524220 JHX524014:JHX524220 JRT524014:JRT524220 KBP524014:KBP524220 KLL524014:KLL524220 KVH524014:KVH524220 LFD524014:LFD524220 LOZ524014:LOZ524220 LYV524014:LYV524220 MIR524014:MIR524220 MSN524014:MSN524220 NCJ524014:NCJ524220 NMF524014:NMF524220 NWB524014:NWB524220 OFX524014:OFX524220 OPT524014:OPT524220 OZP524014:OZP524220 PJL524014:PJL524220 PTH524014:PTH524220 QDD524014:QDD524220 QMZ524014:QMZ524220 QWV524014:QWV524220 RGR524014:RGR524220 RQN524014:RQN524220 SAJ524014:SAJ524220 SKF524014:SKF524220 SUB524014:SUB524220 TDX524014:TDX524220 TNT524014:TNT524220 TXP524014:TXP524220 UHL524014:UHL524220 URH524014:URH524220 VBD524014:VBD524220 VKZ524014:VKZ524220 VUV524014:VUV524220 WER524014:WER524220 WON524014:WON524220 WYJ524014:WYJ524220 CD589550:CD589756 LX589550:LX589756 VT589550:VT589756 AFP589550:AFP589756 APL589550:APL589756 AZH589550:AZH589756 BJD589550:BJD589756 BSZ589550:BSZ589756 CCV589550:CCV589756 CMR589550:CMR589756 CWN589550:CWN589756 DGJ589550:DGJ589756 DQF589550:DQF589756 EAB589550:EAB589756 EJX589550:EJX589756 ETT589550:ETT589756 FDP589550:FDP589756 FNL589550:FNL589756 FXH589550:FXH589756 GHD589550:GHD589756 GQZ589550:GQZ589756 HAV589550:HAV589756 HKR589550:HKR589756 HUN589550:HUN589756 IEJ589550:IEJ589756 IOF589550:IOF589756 IYB589550:IYB589756 JHX589550:JHX589756 JRT589550:JRT589756 KBP589550:KBP589756 KLL589550:KLL589756 KVH589550:KVH589756 LFD589550:LFD589756 LOZ589550:LOZ589756 LYV589550:LYV589756 MIR589550:MIR589756 MSN589550:MSN589756 NCJ589550:NCJ589756 NMF589550:NMF589756 NWB589550:NWB589756 OFX589550:OFX589756 OPT589550:OPT589756 OZP589550:OZP589756 PJL589550:PJL589756 PTH589550:PTH589756 QDD589550:QDD589756 QMZ589550:QMZ589756 QWV589550:QWV589756 RGR589550:RGR589756 RQN589550:RQN589756 SAJ589550:SAJ589756 SKF589550:SKF589756 SUB589550:SUB589756 TDX589550:TDX589756 TNT589550:TNT589756 TXP589550:TXP589756 UHL589550:UHL589756 URH589550:URH589756 VBD589550:VBD589756 VKZ589550:VKZ589756 VUV589550:VUV589756 WER589550:WER589756 WON589550:WON589756 WYJ589550:WYJ589756 CD655086:CD655292 LX655086:LX655292 VT655086:VT655292 AFP655086:AFP655292 APL655086:APL655292 AZH655086:AZH655292 BJD655086:BJD655292 BSZ655086:BSZ655292 CCV655086:CCV655292 CMR655086:CMR655292 CWN655086:CWN655292 DGJ655086:DGJ655292 DQF655086:DQF655292 EAB655086:EAB655292 EJX655086:EJX655292 ETT655086:ETT655292 FDP655086:FDP655292 FNL655086:FNL655292 FXH655086:FXH655292 GHD655086:GHD655292 GQZ655086:GQZ655292 HAV655086:HAV655292 HKR655086:HKR655292 HUN655086:HUN655292 IEJ655086:IEJ655292 IOF655086:IOF655292 IYB655086:IYB655292 JHX655086:JHX655292 JRT655086:JRT655292 KBP655086:KBP655292 KLL655086:KLL655292 KVH655086:KVH655292 LFD655086:LFD655292 LOZ655086:LOZ655292 LYV655086:LYV655292 MIR655086:MIR655292 MSN655086:MSN655292 NCJ655086:NCJ655292 NMF655086:NMF655292 NWB655086:NWB655292 OFX655086:OFX655292 OPT655086:OPT655292 OZP655086:OZP655292 PJL655086:PJL655292 PTH655086:PTH655292 QDD655086:QDD655292 QMZ655086:QMZ655292 QWV655086:QWV655292 RGR655086:RGR655292 RQN655086:RQN655292 SAJ655086:SAJ655292 SKF655086:SKF655292 SUB655086:SUB655292 TDX655086:TDX655292 TNT655086:TNT655292 TXP655086:TXP655292 UHL655086:UHL655292 URH655086:URH655292 VBD655086:VBD655292 VKZ655086:VKZ655292 VUV655086:VUV655292 WER655086:WER655292 WON655086:WON655292 WYJ655086:WYJ655292 CD720622:CD720828 LX720622:LX720828 VT720622:VT720828 AFP720622:AFP720828 APL720622:APL720828 AZH720622:AZH720828 BJD720622:BJD720828 BSZ720622:BSZ720828 CCV720622:CCV720828 CMR720622:CMR720828 CWN720622:CWN720828 DGJ720622:DGJ720828 DQF720622:DQF720828 EAB720622:EAB720828 EJX720622:EJX720828 ETT720622:ETT720828 FDP720622:FDP720828 FNL720622:FNL720828 FXH720622:FXH720828 GHD720622:GHD720828 GQZ720622:GQZ720828 HAV720622:HAV720828 HKR720622:HKR720828 HUN720622:HUN720828 IEJ720622:IEJ720828 IOF720622:IOF720828 IYB720622:IYB720828 JHX720622:JHX720828 JRT720622:JRT720828 KBP720622:KBP720828 KLL720622:KLL720828 KVH720622:KVH720828 LFD720622:LFD720828 LOZ720622:LOZ720828 LYV720622:LYV720828 MIR720622:MIR720828 MSN720622:MSN720828 NCJ720622:NCJ720828 NMF720622:NMF720828 NWB720622:NWB720828 OFX720622:OFX720828 OPT720622:OPT720828 OZP720622:OZP720828 PJL720622:PJL720828 PTH720622:PTH720828 QDD720622:QDD720828 QMZ720622:QMZ720828 QWV720622:QWV720828 RGR720622:RGR720828 RQN720622:RQN720828 SAJ720622:SAJ720828 SKF720622:SKF720828 SUB720622:SUB720828 TDX720622:TDX720828 TNT720622:TNT720828 TXP720622:TXP720828 UHL720622:UHL720828 URH720622:URH720828 VBD720622:VBD720828 VKZ720622:VKZ720828 VUV720622:VUV720828 WER720622:WER720828 WON720622:WON720828 WYJ720622:WYJ720828 CD786158:CD786364 LX786158:LX786364 VT786158:VT786364 AFP786158:AFP786364 APL786158:APL786364 AZH786158:AZH786364 BJD786158:BJD786364 BSZ786158:BSZ786364 CCV786158:CCV786364 CMR786158:CMR786364 CWN786158:CWN786364 DGJ786158:DGJ786364 DQF786158:DQF786364 EAB786158:EAB786364 EJX786158:EJX786364 ETT786158:ETT786364 FDP786158:FDP786364 FNL786158:FNL786364 FXH786158:FXH786364 GHD786158:GHD786364 GQZ786158:GQZ786364 HAV786158:HAV786364 HKR786158:HKR786364 HUN786158:HUN786364 IEJ786158:IEJ786364 IOF786158:IOF786364 IYB786158:IYB786364 JHX786158:JHX786364 JRT786158:JRT786364 KBP786158:KBP786364 KLL786158:KLL786364 KVH786158:KVH786364 LFD786158:LFD786364 LOZ786158:LOZ786364 LYV786158:LYV786364 MIR786158:MIR786364 MSN786158:MSN786364 NCJ786158:NCJ786364 NMF786158:NMF786364 NWB786158:NWB786364 OFX786158:OFX786364 OPT786158:OPT786364 OZP786158:OZP786364 PJL786158:PJL786364 PTH786158:PTH786364 QDD786158:QDD786364 QMZ786158:QMZ786364 QWV786158:QWV786364 RGR786158:RGR786364 RQN786158:RQN786364 SAJ786158:SAJ786364 SKF786158:SKF786364 SUB786158:SUB786364 TDX786158:TDX786364 TNT786158:TNT786364 TXP786158:TXP786364 UHL786158:UHL786364 URH786158:URH786364 VBD786158:VBD786364 VKZ786158:VKZ786364 VUV786158:VUV786364 WER786158:WER786364 WON786158:WON786364 WYJ786158:WYJ786364 CD851694:CD851900 LX851694:LX851900 VT851694:VT851900 AFP851694:AFP851900 APL851694:APL851900 AZH851694:AZH851900 BJD851694:BJD851900 BSZ851694:BSZ851900 CCV851694:CCV851900 CMR851694:CMR851900 CWN851694:CWN851900 DGJ851694:DGJ851900 DQF851694:DQF851900 EAB851694:EAB851900 EJX851694:EJX851900 ETT851694:ETT851900 FDP851694:FDP851900 FNL851694:FNL851900 FXH851694:FXH851900 GHD851694:GHD851900 GQZ851694:GQZ851900 HAV851694:HAV851900 HKR851694:HKR851900 HUN851694:HUN851900 IEJ851694:IEJ851900 IOF851694:IOF851900 IYB851694:IYB851900 JHX851694:JHX851900 JRT851694:JRT851900 KBP851694:KBP851900 KLL851694:KLL851900 KVH851694:KVH851900 LFD851694:LFD851900 LOZ851694:LOZ851900 LYV851694:LYV851900 MIR851694:MIR851900 MSN851694:MSN851900 NCJ851694:NCJ851900 NMF851694:NMF851900 NWB851694:NWB851900 OFX851694:OFX851900 OPT851694:OPT851900 OZP851694:OZP851900 PJL851694:PJL851900 PTH851694:PTH851900 QDD851694:QDD851900 QMZ851694:QMZ851900 QWV851694:QWV851900 RGR851694:RGR851900 RQN851694:RQN851900 SAJ851694:SAJ851900 SKF851694:SKF851900 SUB851694:SUB851900 TDX851694:TDX851900 TNT851694:TNT851900 TXP851694:TXP851900 UHL851694:UHL851900 URH851694:URH851900 VBD851694:VBD851900 VKZ851694:VKZ851900 VUV851694:VUV851900 WER851694:WER851900 WON851694:WON851900 WYJ851694:WYJ851900 CD917230:CD917436 LX917230:LX917436 VT917230:VT917436 AFP917230:AFP917436 APL917230:APL917436 AZH917230:AZH917436 BJD917230:BJD917436 BSZ917230:BSZ917436 CCV917230:CCV917436 CMR917230:CMR917436 CWN917230:CWN917436 DGJ917230:DGJ917436 DQF917230:DQF917436 EAB917230:EAB917436 EJX917230:EJX917436 ETT917230:ETT917436 FDP917230:FDP917436 FNL917230:FNL917436 FXH917230:FXH917436 GHD917230:GHD917436 GQZ917230:GQZ917436 HAV917230:HAV917436 HKR917230:HKR917436 HUN917230:HUN917436 IEJ917230:IEJ917436 IOF917230:IOF917436 IYB917230:IYB917436 JHX917230:JHX917436 JRT917230:JRT917436 KBP917230:KBP917436 KLL917230:KLL917436 KVH917230:KVH917436 LFD917230:LFD917436 LOZ917230:LOZ917436 LYV917230:LYV917436 MIR917230:MIR917436 MSN917230:MSN917436 NCJ917230:NCJ917436 NMF917230:NMF917436 NWB917230:NWB917436 OFX917230:OFX917436 OPT917230:OPT917436 OZP917230:OZP917436 PJL917230:PJL917436 PTH917230:PTH917436 QDD917230:QDD917436 QMZ917230:QMZ917436 QWV917230:QWV917436 RGR917230:RGR917436 RQN917230:RQN917436 SAJ917230:SAJ917436 SKF917230:SKF917436 SUB917230:SUB917436 TDX917230:TDX917436 TNT917230:TNT917436 TXP917230:TXP917436 UHL917230:UHL917436 URH917230:URH917436 VBD917230:VBD917436 VKZ917230:VKZ917436 VUV917230:VUV917436 WER917230:WER917436 WON917230:WON917436 WYJ917230:WYJ917436 CD982766:CD982972 LX982766:LX982972 VT982766:VT982972 AFP982766:AFP982972 APL982766:APL982972 AZH982766:AZH982972 BJD982766:BJD982972 BSZ982766:BSZ982972 CCV982766:CCV982972 CMR982766:CMR982972 CWN982766:CWN982972 DGJ982766:DGJ982972 DQF982766:DQF982972 EAB982766:EAB982972 EJX982766:EJX982972 ETT982766:ETT982972 FDP982766:FDP982972 FNL982766:FNL982972 FXH982766:FXH982972 GHD982766:GHD982972 GQZ982766:GQZ982972 HAV982766:HAV982972 HKR982766:HKR982972 HUN982766:HUN982972 IEJ982766:IEJ982972 IOF982766:IOF982972 IYB982766:IYB982972 JHX982766:JHX982972 JRT982766:JRT982972 KBP982766:KBP982972 KLL982766:KLL982972 KVH982766:KVH982972 LFD982766:LFD982972 LOZ982766:LOZ982972 LYV982766:LYV982972 MIR982766:MIR982972 MSN982766:MSN982972 NCJ982766:NCJ982972 NMF982766:NMF982972 NWB982766:NWB982972 OFX982766:OFX982972 OPT982766:OPT982972 OZP982766:OZP982972 PJL982766:PJL982972 PTH982766:PTH982972 QDD982766:QDD982972 QMZ982766:QMZ982972 QWV982766:QWV982972 RGR982766:RGR982972 RQN982766:RQN982972 SAJ982766:SAJ982972 SKF982766:SKF982972 SUB982766:SUB982972 TDX982766:TDX982972 TNT982766:TNT982972 TXP982766:TXP982972 UHL982766:UHL982972 URH982766:URH982972 VBD982766:VBD982972 VKZ982766:VKZ982972 VUV982766:VUV982972 WER982766:WER982972 WON982766:WON982972 WYJ982766:WYJ982972 WYJ5:WYJ11 LX5:LX11 VT5:VT11 AFP5:AFP11 APL5:APL11 AZH5:AZH11 BJD5:BJD11 BSZ5:BSZ11 CCV5:CCV11 CMR5:CMR11 CWN5:CWN11 DGJ5:DGJ11 DQF5:DQF11 EAB5:EAB11 EJX5:EJX11 ETT5:ETT11 FDP5:FDP11 FNL5:FNL11 FXH5:FXH11 GHD5:GHD11 GQZ5:GQZ11 HAV5:HAV11 HKR5:HKR11 HUN5:HUN11 IEJ5:IEJ11 IOF5:IOF11 IYB5:IYB11 JHX5:JHX11 JRT5:JRT11 KBP5:KBP11 KLL5:KLL11 KVH5:KVH11 LFD5:LFD11 LOZ5:LOZ11 LYV5:LYV11 MIR5:MIR11 MSN5:MSN11 NCJ5:NCJ11 NMF5:NMF11 NWB5:NWB11 OFX5:OFX11 OPT5:OPT11 OZP5:OZP11 PJL5:PJL11 PTH5:PTH11 QDD5:QDD11 QMZ5:QMZ11 QWV5:QWV11 RGR5:RGR11 RQN5:RQN11 SAJ5:SAJ11 SKF5:SKF11 SUB5:SUB11 TDX5:TDX11 TNT5:TNT11 TXP5:TXP11 UHL5:UHL11 URH5:URH11 VBD5:VBD11 VKZ5:VKZ11 VUV5:VUV11 WER5:WER11 WON5:WON11">
      <formula1>1</formula1>
      <formula2>12</formula2>
    </dataValidation>
    <dataValidation type="list" allowBlank="1" showInputMessage="1" showErrorMessage="1" sqref="CO65262:CO65464 WYQ982766:WYS982968 ME5:MG11 WA5:WC11 AFW5:AFY11 APS5:APU11 AZO5:AZQ11 BJK5:BJM11 BTG5:BTI11 CDC5:CDE11 CMY5:CNA11 CWU5:CWW11 DGQ5:DGS11 DQM5:DQO11 EAI5:EAK11 EKE5:EKG11 EUA5:EUC11 FDW5:FDY11 FNS5:FNU11 FXO5:FXQ11 GHK5:GHM11 GRG5:GRI11 HBC5:HBE11 HKY5:HLA11 HUU5:HUW11 IEQ5:IES11 IOM5:IOO11 IYI5:IYK11 JIE5:JIG11 JSA5:JSC11 KBW5:KBY11 KLS5:KLU11 KVO5:KVQ11 LFK5:LFM11 LPG5:LPI11 LZC5:LZE11 MIY5:MJA11 MSU5:MSW11 NCQ5:NCS11 NMM5:NMO11 NWI5:NWK11 OGE5:OGG11 OQA5:OQC11 OZW5:OZY11 PJS5:PJU11 PTO5:PTQ11 QDK5:QDM11 QNG5:QNI11 QXC5:QXE11 RGY5:RHA11 RQU5:RQW11 SAQ5:SAS11 SKM5:SKO11 SUI5:SUK11 TEE5:TEG11 TOA5:TOC11 TXW5:TXY11 UHS5:UHU11 URO5:URQ11 VBK5:VBM11 VLG5:VLI11 VVC5:VVE11 WEY5:WFA11 WOU5:WOW11 WYQ5:WYS11 ME65262:MG65464 WA65262:WC65464 AFW65262:AFY65464 APS65262:APU65464 AZO65262:AZQ65464 BJK65262:BJM65464 BTG65262:BTI65464 CDC65262:CDE65464 CMY65262:CNA65464 CWU65262:CWW65464 DGQ65262:DGS65464 DQM65262:DQO65464 EAI65262:EAK65464 EKE65262:EKG65464 EUA65262:EUC65464 FDW65262:FDY65464 FNS65262:FNU65464 FXO65262:FXQ65464 GHK65262:GHM65464 GRG65262:GRI65464 HBC65262:HBE65464 HKY65262:HLA65464 HUU65262:HUW65464 IEQ65262:IES65464 IOM65262:IOO65464 IYI65262:IYK65464 JIE65262:JIG65464 JSA65262:JSC65464 KBW65262:KBY65464 KLS65262:KLU65464 KVO65262:KVQ65464 LFK65262:LFM65464 LPG65262:LPI65464 LZC65262:LZE65464 MIY65262:MJA65464 MSU65262:MSW65464 NCQ65262:NCS65464 NMM65262:NMO65464 NWI65262:NWK65464 OGE65262:OGG65464 OQA65262:OQC65464 OZW65262:OZY65464 PJS65262:PJU65464 PTO65262:PTQ65464 QDK65262:QDM65464 QNG65262:QNI65464 QXC65262:QXE65464 RGY65262:RHA65464 RQU65262:RQW65464 SAQ65262:SAS65464 SKM65262:SKO65464 SUI65262:SUK65464 TEE65262:TEG65464 TOA65262:TOC65464 TXW65262:TXY65464 UHS65262:UHU65464 URO65262:URQ65464 VBK65262:VBM65464 VLG65262:VLI65464 VVC65262:VVE65464 WEY65262:WFA65464 WOU65262:WOW65464 WYQ65262:WYS65464 CO130798:CO131000 ME130798:MG131000 WA130798:WC131000 AFW130798:AFY131000 APS130798:APU131000 AZO130798:AZQ131000 BJK130798:BJM131000 BTG130798:BTI131000 CDC130798:CDE131000 CMY130798:CNA131000 CWU130798:CWW131000 DGQ130798:DGS131000 DQM130798:DQO131000 EAI130798:EAK131000 EKE130798:EKG131000 EUA130798:EUC131000 FDW130798:FDY131000 FNS130798:FNU131000 FXO130798:FXQ131000 GHK130798:GHM131000 GRG130798:GRI131000 HBC130798:HBE131000 HKY130798:HLA131000 HUU130798:HUW131000 IEQ130798:IES131000 IOM130798:IOO131000 IYI130798:IYK131000 JIE130798:JIG131000 JSA130798:JSC131000 KBW130798:KBY131000 KLS130798:KLU131000 KVO130798:KVQ131000 LFK130798:LFM131000 LPG130798:LPI131000 LZC130798:LZE131000 MIY130798:MJA131000 MSU130798:MSW131000 NCQ130798:NCS131000 NMM130798:NMO131000 NWI130798:NWK131000 OGE130798:OGG131000 OQA130798:OQC131000 OZW130798:OZY131000 PJS130798:PJU131000 PTO130798:PTQ131000 QDK130798:QDM131000 QNG130798:QNI131000 QXC130798:QXE131000 RGY130798:RHA131000 RQU130798:RQW131000 SAQ130798:SAS131000 SKM130798:SKO131000 SUI130798:SUK131000 TEE130798:TEG131000 TOA130798:TOC131000 TXW130798:TXY131000 UHS130798:UHU131000 URO130798:URQ131000 VBK130798:VBM131000 VLG130798:VLI131000 VVC130798:VVE131000 WEY130798:WFA131000 WOU130798:WOW131000 WYQ130798:WYS131000 CO196334:CO196536 ME196334:MG196536 WA196334:WC196536 AFW196334:AFY196536 APS196334:APU196536 AZO196334:AZQ196536 BJK196334:BJM196536 BTG196334:BTI196536 CDC196334:CDE196536 CMY196334:CNA196536 CWU196334:CWW196536 DGQ196334:DGS196536 DQM196334:DQO196536 EAI196334:EAK196536 EKE196334:EKG196536 EUA196334:EUC196536 FDW196334:FDY196536 FNS196334:FNU196536 FXO196334:FXQ196536 GHK196334:GHM196536 GRG196334:GRI196536 HBC196334:HBE196536 HKY196334:HLA196536 HUU196334:HUW196536 IEQ196334:IES196536 IOM196334:IOO196536 IYI196334:IYK196536 JIE196334:JIG196536 JSA196334:JSC196536 KBW196334:KBY196536 KLS196334:KLU196536 KVO196334:KVQ196536 LFK196334:LFM196536 LPG196334:LPI196536 LZC196334:LZE196536 MIY196334:MJA196536 MSU196334:MSW196536 NCQ196334:NCS196536 NMM196334:NMO196536 NWI196334:NWK196536 OGE196334:OGG196536 OQA196334:OQC196536 OZW196334:OZY196536 PJS196334:PJU196536 PTO196334:PTQ196536 QDK196334:QDM196536 QNG196334:QNI196536 QXC196334:QXE196536 RGY196334:RHA196536 RQU196334:RQW196536 SAQ196334:SAS196536 SKM196334:SKO196536 SUI196334:SUK196536 TEE196334:TEG196536 TOA196334:TOC196536 TXW196334:TXY196536 UHS196334:UHU196536 URO196334:URQ196536 VBK196334:VBM196536 VLG196334:VLI196536 VVC196334:VVE196536 WEY196334:WFA196536 WOU196334:WOW196536 WYQ196334:WYS196536 CO261870:CO262072 ME261870:MG262072 WA261870:WC262072 AFW261870:AFY262072 APS261870:APU262072 AZO261870:AZQ262072 BJK261870:BJM262072 BTG261870:BTI262072 CDC261870:CDE262072 CMY261870:CNA262072 CWU261870:CWW262072 DGQ261870:DGS262072 DQM261870:DQO262072 EAI261870:EAK262072 EKE261870:EKG262072 EUA261870:EUC262072 FDW261870:FDY262072 FNS261870:FNU262072 FXO261870:FXQ262072 GHK261870:GHM262072 GRG261870:GRI262072 HBC261870:HBE262072 HKY261870:HLA262072 HUU261870:HUW262072 IEQ261870:IES262072 IOM261870:IOO262072 IYI261870:IYK262072 JIE261870:JIG262072 JSA261870:JSC262072 KBW261870:KBY262072 KLS261870:KLU262072 KVO261870:KVQ262072 LFK261870:LFM262072 LPG261870:LPI262072 LZC261870:LZE262072 MIY261870:MJA262072 MSU261870:MSW262072 NCQ261870:NCS262072 NMM261870:NMO262072 NWI261870:NWK262072 OGE261870:OGG262072 OQA261870:OQC262072 OZW261870:OZY262072 PJS261870:PJU262072 PTO261870:PTQ262072 QDK261870:QDM262072 QNG261870:QNI262072 QXC261870:QXE262072 RGY261870:RHA262072 RQU261870:RQW262072 SAQ261870:SAS262072 SKM261870:SKO262072 SUI261870:SUK262072 TEE261870:TEG262072 TOA261870:TOC262072 TXW261870:TXY262072 UHS261870:UHU262072 URO261870:URQ262072 VBK261870:VBM262072 VLG261870:VLI262072 VVC261870:VVE262072 WEY261870:WFA262072 WOU261870:WOW262072 WYQ261870:WYS262072 CO327406:CO327608 ME327406:MG327608 WA327406:WC327608 AFW327406:AFY327608 APS327406:APU327608 AZO327406:AZQ327608 BJK327406:BJM327608 BTG327406:BTI327608 CDC327406:CDE327608 CMY327406:CNA327608 CWU327406:CWW327608 DGQ327406:DGS327608 DQM327406:DQO327608 EAI327406:EAK327608 EKE327406:EKG327608 EUA327406:EUC327608 FDW327406:FDY327608 FNS327406:FNU327608 FXO327406:FXQ327608 GHK327406:GHM327608 GRG327406:GRI327608 HBC327406:HBE327608 HKY327406:HLA327608 HUU327406:HUW327608 IEQ327406:IES327608 IOM327406:IOO327608 IYI327406:IYK327608 JIE327406:JIG327608 JSA327406:JSC327608 KBW327406:KBY327608 KLS327406:KLU327608 KVO327406:KVQ327608 LFK327406:LFM327608 LPG327406:LPI327608 LZC327406:LZE327608 MIY327406:MJA327608 MSU327406:MSW327608 NCQ327406:NCS327608 NMM327406:NMO327608 NWI327406:NWK327608 OGE327406:OGG327608 OQA327406:OQC327608 OZW327406:OZY327608 PJS327406:PJU327608 PTO327406:PTQ327608 QDK327406:QDM327608 QNG327406:QNI327608 QXC327406:QXE327608 RGY327406:RHA327608 RQU327406:RQW327608 SAQ327406:SAS327608 SKM327406:SKO327608 SUI327406:SUK327608 TEE327406:TEG327608 TOA327406:TOC327608 TXW327406:TXY327608 UHS327406:UHU327608 URO327406:URQ327608 VBK327406:VBM327608 VLG327406:VLI327608 VVC327406:VVE327608 WEY327406:WFA327608 WOU327406:WOW327608 WYQ327406:WYS327608 CO392942:CO393144 ME392942:MG393144 WA392942:WC393144 AFW392942:AFY393144 APS392942:APU393144 AZO392942:AZQ393144 BJK392942:BJM393144 BTG392942:BTI393144 CDC392942:CDE393144 CMY392942:CNA393144 CWU392942:CWW393144 DGQ392942:DGS393144 DQM392942:DQO393144 EAI392942:EAK393144 EKE392942:EKG393144 EUA392942:EUC393144 FDW392942:FDY393144 FNS392942:FNU393144 FXO392942:FXQ393144 GHK392942:GHM393144 GRG392942:GRI393144 HBC392942:HBE393144 HKY392942:HLA393144 HUU392942:HUW393144 IEQ392942:IES393144 IOM392942:IOO393144 IYI392942:IYK393144 JIE392942:JIG393144 JSA392942:JSC393144 KBW392942:KBY393144 KLS392942:KLU393144 KVO392942:KVQ393144 LFK392942:LFM393144 LPG392942:LPI393144 LZC392942:LZE393144 MIY392942:MJA393144 MSU392942:MSW393144 NCQ392942:NCS393144 NMM392942:NMO393144 NWI392942:NWK393144 OGE392942:OGG393144 OQA392942:OQC393144 OZW392942:OZY393144 PJS392942:PJU393144 PTO392942:PTQ393144 QDK392942:QDM393144 QNG392942:QNI393144 QXC392942:QXE393144 RGY392942:RHA393144 RQU392942:RQW393144 SAQ392942:SAS393144 SKM392942:SKO393144 SUI392942:SUK393144 TEE392942:TEG393144 TOA392942:TOC393144 TXW392942:TXY393144 UHS392942:UHU393144 URO392942:URQ393144 VBK392942:VBM393144 VLG392942:VLI393144 VVC392942:VVE393144 WEY392942:WFA393144 WOU392942:WOW393144 WYQ392942:WYS393144 CO458478:CO458680 ME458478:MG458680 WA458478:WC458680 AFW458478:AFY458680 APS458478:APU458680 AZO458478:AZQ458680 BJK458478:BJM458680 BTG458478:BTI458680 CDC458478:CDE458680 CMY458478:CNA458680 CWU458478:CWW458680 DGQ458478:DGS458680 DQM458478:DQO458680 EAI458478:EAK458680 EKE458478:EKG458680 EUA458478:EUC458680 FDW458478:FDY458680 FNS458478:FNU458680 FXO458478:FXQ458680 GHK458478:GHM458680 GRG458478:GRI458680 HBC458478:HBE458680 HKY458478:HLA458680 HUU458478:HUW458680 IEQ458478:IES458680 IOM458478:IOO458680 IYI458478:IYK458680 JIE458478:JIG458680 JSA458478:JSC458680 KBW458478:KBY458680 KLS458478:KLU458680 KVO458478:KVQ458680 LFK458478:LFM458680 LPG458478:LPI458680 LZC458478:LZE458680 MIY458478:MJA458680 MSU458478:MSW458680 NCQ458478:NCS458680 NMM458478:NMO458680 NWI458478:NWK458680 OGE458478:OGG458680 OQA458478:OQC458680 OZW458478:OZY458680 PJS458478:PJU458680 PTO458478:PTQ458680 QDK458478:QDM458680 QNG458478:QNI458680 QXC458478:QXE458680 RGY458478:RHA458680 RQU458478:RQW458680 SAQ458478:SAS458680 SKM458478:SKO458680 SUI458478:SUK458680 TEE458478:TEG458680 TOA458478:TOC458680 TXW458478:TXY458680 UHS458478:UHU458680 URO458478:URQ458680 VBK458478:VBM458680 VLG458478:VLI458680 VVC458478:VVE458680 WEY458478:WFA458680 WOU458478:WOW458680 WYQ458478:WYS458680 CO524014:CO524216 ME524014:MG524216 WA524014:WC524216 AFW524014:AFY524216 APS524014:APU524216 AZO524014:AZQ524216 BJK524014:BJM524216 BTG524014:BTI524216 CDC524014:CDE524216 CMY524014:CNA524216 CWU524014:CWW524216 DGQ524014:DGS524216 DQM524014:DQO524216 EAI524014:EAK524216 EKE524014:EKG524216 EUA524014:EUC524216 FDW524014:FDY524216 FNS524014:FNU524216 FXO524014:FXQ524216 GHK524014:GHM524216 GRG524014:GRI524216 HBC524014:HBE524216 HKY524014:HLA524216 HUU524014:HUW524216 IEQ524014:IES524216 IOM524014:IOO524216 IYI524014:IYK524216 JIE524014:JIG524216 JSA524014:JSC524216 KBW524014:KBY524216 KLS524014:KLU524216 KVO524014:KVQ524216 LFK524014:LFM524216 LPG524014:LPI524216 LZC524014:LZE524216 MIY524014:MJA524216 MSU524014:MSW524216 NCQ524014:NCS524216 NMM524014:NMO524216 NWI524014:NWK524216 OGE524014:OGG524216 OQA524014:OQC524216 OZW524014:OZY524216 PJS524014:PJU524216 PTO524014:PTQ524216 QDK524014:QDM524216 QNG524014:QNI524216 QXC524014:QXE524216 RGY524014:RHA524216 RQU524014:RQW524216 SAQ524014:SAS524216 SKM524014:SKO524216 SUI524014:SUK524216 TEE524014:TEG524216 TOA524014:TOC524216 TXW524014:TXY524216 UHS524014:UHU524216 URO524014:URQ524216 VBK524014:VBM524216 VLG524014:VLI524216 VVC524014:VVE524216 WEY524014:WFA524216 WOU524014:WOW524216 WYQ524014:WYS524216 CO589550:CO589752 ME589550:MG589752 WA589550:WC589752 AFW589550:AFY589752 APS589550:APU589752 AZO589550:AZQ589752 BJK589550:BJM589752 BTG589550:BTI589752 CDC589550:CDE589752 CMY589550:CNA589752 CWU589550:CWW589752 DGQ589550:DGS589752 DQM589550:DQO589752 EAI589550:EAK589752 EKE589550:EKG589752 EUA589550:EUC589752 FDW589550:FDY589752 FNS589550:FNU589752 FXO589550:FXQ589752 GHK589550:GHM589752 GRG589550:GRI589752 HBC589550:HBE589752 HKY589550:HLA589752 HUU589550:HUW589752 IEQ589550:IES589752 IOM589550:IOO589752 IYI589550:IYK589752 JIE589550:JIG589752 JSA589550:JSC589752 KBW589550:KBY589752 KLS589550:KLU589752 KVO589550:KVQ589752 LFK589550:LFM589752 LPG589550:LPI589752 LZC589550:LZE589752 MIY589550:MJA589752 MSU589550:MSW589752 NCQ589550:NCS589752 NMM589550:NMO589752 NWI589550:NWK589752 OGE589550:OGG589752 OQA589550:OQC589752 OZW589550:OZY589752 PJS589550:PJU589752 PTO589550:PTQ589752 QDK589550:QDM589752 QNG589550:QNI589752 QXC589550:QXE589752 RGY589550:RHA589752 RQU589550:RQW589752 SAQ589550:SAS589752 SKM589550:SKO589752 SUI589550:SUK589752 TEE589550:TEG589752 TOA589550:TOC589752 TXW589550:TXY589752 UHS589550:UHU589752 URO589550:URQ589752 VBK589550:VBM589752 VLG589550:VLI589752 VVC589550:VVE589752 WEY589550:WFA589752 WOU589550:WOW589752 WYQ589550:WYS589752 CO655086:CO655288 ME655086:MG655288 WA655086:WC655288 AFW655086:AFY655288 APS655086:APU655288 AZO655086:AZQ655288 BJK655086:BJM655288 BTG655086:BTI655288 CDC655086:CDE655288 CMY655086:CNA655288 CWU655086:CWW655288 DGQ655086:DGS655288 DQM655086:DQO655288 EAI655086:EAK655288 EKE655086:EKG655288 EUA655086:EUC655288 FDW655086:FDY655288 FNS655086:FNU655288 FXO655086:FXQ655288 GHK655086:GHM655288 GRG655086:GRI655288 HBC655086:HBE655288 HKY655086:HLA655288 HUU655086:HUW655288 IEQ655086:IES655288 IOM655086:IOO655288 IYI655086:IYK655288 JIE655086:JIG655288 JSA655086:JSC655288 KBW655086:KBY655288 KLS655086:KLU655288 KVO655086:KVQ655288 LFK655086:LFM655288 LPG655086:LPI655288 LZC655086:LZE655288 MIY655086:MJA655288 MSU655086:MSW655288 NCQ655086:NCS655288 NMM655086:NMO655288 NWI655086:NWK655288 OGE655086:OGG655288 OQA655086:OQC655288 OZW655086:OZY655288 PJS655086:PJU655288 PTO655086:PTQ655288 QDK655086:QDM655288 QNG655086:QNI655288 QXC655086:QXE655288 RGY655086:RHA655288 RQU655086:RQW655288 SAQ655086:SAS655288 SKM655086:SKO655288 SUI655086:SUK655288 TEE655086:TEG655288 TOA655086:TOC655288 TXW655086:TXY655288 UHS655086:UHU655288 URO655086:URQ655288 VBK655086:VBM655288 VLG655086:VLI655288 VVC655086:VVE655288 WEY655086:WFA655288 WOU655086:WOW655288 WYQ655086:WYS655288 CO720622:CO720824 ME720622:MG720824 WA720622:WC720824 AFW720622:AFY720824 APS720622:APU720824 AZO720622:AZQ720824 BJK720622:BJM720824 BTG720622:BTI720824 CDC720622:CDE720824 CMY720622:CNA720824 CWU720622:CWW720824 DGQ720622:DGS720824 DQM720622:DQO720824 EAI720622:EAK720824 EKE720622:EKG720824 EUA720622:EUC720824 FDW720622:FDY720824 FNS720622:FNU720824 FXO720622:FXQ720824 GHK720622:GHM720824 GRG720622:GRI720824 HBC720622:HBE720824 HKY720622:HLA720824 HUU720622:HUW720824 IEQ720622:IES720824 IOM720622:IOO720824 IYI720622:IYK720824 JIE720622:JIG720824 JSA720622:JSC720824 KBW720622:KBY720824 KLS720622:KLU720824 KVO720622:KVQ720824 LFK720622:LFM720824 LPG720622:LPI720824 LZC720622:LZE720824 MIY720622:MJA720824 MSU720622:MSW720824 NCQ720622:NCS720824 NMM720622:NMO720824 NWI720622:NWK720824 OGE720622:OGG720824 OQA720622:OQC720824 OZW720622:OZY720824 PJS720622:PJU720824 PTO720622:PTQ720824 QDK720622:QDM720824 QNG720622:QNI720824 QXC720622:QXE720824 RGY720622:RHA720824 RQU720622:RQW720824 SAQ720622:SAS720824 SKM720622:SKO720824 SUI720622:SUK720824 TEE720622:TEG720824 TOA720622:TOC720824 TXW720622:TXY720824 UHS720622:UHU720824 URO720622:URQ720824 VBK720622:VBM720824 VLG720622:VLI720824 VVC720622:VVE720824 WEY720622:WFA720824 WOU720622:WOW720824 WYQ720622:WYS720824 CO786158:CO786360 ME786158:MG786360 WA786158:WC786360 AFW786158:AFY786360 APS786158:APU786360 AZO786158:AZQ786360 BJK786158:BJM786360 BTG786158:BTI786360 CDC786158:CDE786360 CMY786158:CNA786360 CWU786158:CWW786360 DGQ786158:DGS786360 DQM786158:DQO786360 EAI786158:EAK786360 EKE786158:EKG786360 EUA786158:EUC786360 FDW786158:FDY786360 FNS786158:FNU786360 FXO786158:FXQ786360 GHK786158:GHM786360 GRG786158:GRI786360 HBC786158:HBE786360 HKY786158:HLA786360 HUU786158:HUW786360 IEQ786158:IES786360 IOM786158:IOO786360 IYI786158:IYK786360 JIE786158:JIG786360 JSA786158:JSC786360 KBW786158:KBY786360 KLS786158:KLU786360 KVO786158:KVQ786360 LFK786158:LFM786360 LPG786158:LPI786360 LZC786158:LZE786360 MIY786158:MJA786360 MSU786158:MSW786360 NCQ786158:NCS786360 NMM786158:NMO786360 NWI786158:NWK786360 OGE786158:OGG786360 OQA786158:OQC786360 OZW786158:OZY786360 PJS786158:PJU786360 PTO786158:PTQ786360 QDK786158:QDM786360 QNG786158:QNI786360 QXC786158:QXE786360 RGY786158:RHA786360 RQU786158:RQW786360 SAQ786158:SAS786360 SKM786158:SKO786360 SUI786158:SUK786360 TEE786158:TEG786360 TOA786158:TOC786360 TXW786158:TXY786360 UHS786158:UHU786360 URO786158:URQ786360 VBK786158:VBM786360 VLG786158:VLI786360 VVC786158:VVE786360 WEY786158:WFA786360 WOU786158:WOW786360 WYQ786158:WYS786360 CO851694:CO851896 ME851694:MG851896 WA851694:WC851896 AFW851694:AFY851896 APS851694:APU851896 AZO851694:AZQ851896 BJK851694:BJM851896 BTG851694:BTI851896 CDC851694:CDE851896 CMY851694:CNA851896 CWU851694:CWW851896 DGQ851694:DGS851896 DQM851694:DQO851896 EAI851694:EAK851896 EKE851694:EKG851896 EUA851694:EUC851896 FDW851694:FDY851896 FNS851694:FNU851896 FXO851694:FXQ851896 GHK851694:GHM851896 GRG851694:GRI851896 HBC851694:HBE851896 HKY851694:HLA851896 HUU851694:HUW851896 IEQ851694:IES851896 IOM851694:IOO851896 IYI851694:IYK851896 JIE851694:JIG851896 JSA851694:JSC851896 KBW851694:KBY851896 KLS851694:KLU851896 KVO851694:KVQ851896 LFK851694:LFM851896 LPG851694:LPI851896 LZC851694:LZE851896 MIY851694:MJA851896 MSU851694:MSW851896 NCQ851694:NCS851896 NMM851694:NMO851896 NWI851694:NWK851896 OGE851694:OGG851896 OQA851694:OQC851896 OZW851694:OZY851896 PJS851694:PJU851896 PTO851694:PTQ851896 QDK851694:QDM851896 QNG851694:QNI851896 QXC851694:QXE851896 RGY851694:RHA851896 RQU851694:RQW851896 SAQ851694:SAS851896 SKM851694:SKO851896 SUI851694:SUK851896 TEE851694:TEG851896 TOA851694:TOC851896 TXW851694:TXY851896 UHS851694:UHU851896 URO851694:URQ851896 VBK851694:VBM851896 VLG851694:VLI851896 VVC851694:VVE851896 WEY851694:WFA851896 WOU851694:WOW851896 WYQ851694:WYS851896 CO917230:CO917432 ME917230:MG917432 WA917230:WC917432 AFW917230:AFY917432 APS917230:APU917432 AZO917230:AZQ917432 BJK917230:BJM917432 BTG917230:BTI917432 CDC917230:CDE917432 CMY917230:CNA917432 CWU917230:CWW917432 DGQ917230:DGS917432 DQM917230:DQO917432 EAI917230:EAK917432 EKE917230:EKG917432 EUA917230:EUC917432 FDW917230:FDY917432 FNS917230:FNU917432 FXO917230:FXQ917432 GHK917230:GHM917432 GRG917230:GRI917432 HBC917230:HBE917432 HKY917230:HLA917432 HUU917230:HUW917432 IEQ917230:IES917432 IOM917230:IOO917432 IYI917230:IYK917432 JIE917230:JIG917432 JSA917230:JSC917432 KBW917230:KBY917432 KLS917230:KLU917432 KVO917230:KVQ917432 LFK917230:LFM917432 LPG917230:LPI917432 LZC917230:LZE917432 MIY917230:MJA917432 MSU917230:MSW917432 NCQ917230:NCS917432 NMM917230:NMO917432 NWI917230:NWK917432 OGE917230:OGG917432 OQA917230:OQC917432 OZW917230:OZY917432 PJS917230:PJU917432 PTO917230:PTQ917432 QDK917230:QDM917432 QNG917230:QNI917432 QXC917230:QXE917432 RGY917230:RHA917432 RQU917230:RQW917432 SAQ917230:SAS917432 SKM917230:SKO917432 SUI917230:SUK917432 TEE917230:TEG917432 TOA917230:TOC917432 TXW917230:TXY917432 UHS917230:UHU917432 URO917230:URQ917432 VBK917230:VBM917432 VLG917230:VLI917432 VVC917230:VVE917432 WEY917230:WFA917432 WOU917230:WOW917432 WYQ917230:WYS917432 CO982766:CO982968 ME982766:MG982968 WA982766:WC982968 AFW982766:AFY982968 APS982766:APU982968 AZO982766:AZQ982968 BJK982766:BJM982968 BTG982766:BTI982968 CDC982766:CDE982968 CMY982766:CNA982968 CWU982766:CWW982968 DGQ982766:DGS982968 DQM982766:DQO982968 EAI982766:EAK982968 EKE982766:EKG982968 EUA982766:EUC982968 FDW982766:FDY982968 FNS982766:FNU982968 FXO982766:FXQ982968 GHK982766:GHM982968 GRG982766:GRI982968 HBC982766:HBE982968 HKY982766:HLA982968 HUU982766:HUW982968 IEQ982766:IES982968 IOM982766:IOO982968 IYI982766:IYK982968 JIE982766:JIG982968 JSA982766:JSC982968 KBW982766:KBY982968 KLS982766:KLU982968 KVO982766:KVQ982968 LFK982766:LFM982968 LPG982766:LPI982968 LZC982766:LZE982968 MIY982766:MJA982968 MSU982766:MSW982968 NCQ982766:NCS982968 NMM982766:NMO982968 NWI982766:NWK982968 OGE982766:OGG982968 OQA982766:OQC982968 OZW982766:OZY982968 PJS982766:PJU982968 PTO982766:PTQ982968 QDK982766:QDM982968 QNG982766:QNI982968 QXC982766:QXE982968 RGY982766:RHA982968 RQU982766:RQW982968 SAQ982766:SAS982968 SKM982766:SKO982968 SUI982766:SUK982968 TEE982766:TEG982968 TOA982766:TOC982968 TXW982766:TXY982968 UHS982766:UHU982968 URO982766:URQ982968 VBK982766:VBM982968 VLG982766:VLI982968 VVC982766:VVE982968 WEY982766:WFA982968 WOU982766:WOW982968">
      <formula1>$G$12:$G$12</formula1>
    </dataValidation>
    <dataValidation type="list" allowBlank="1" showInputMessage="1" showErrorMessage="1" sqref="WWX982969:WWX982972 WNB982969:WNB982972 WDF982969:WDF982972 VTJ982969:VTJ982972 VJN982969:VJN982972 UZR982969:UZR982972 UPV982969:UPV982972 UFZ982969:UFZ982972 TWD982969:TWD982972 TMH982969:TMH982972 TCL982969:TCL982972 SSP982969:SSP982972 SIT982969:SIT982972 RYX982969:RYX982972 RPB982969:RPB982972 RFF982969:RFF982972 QVJ982969:QVJ982972 QLN982969:QLN982972 QBR982969:QBR982972 PRV982969:PRV982972 PHZ982969:PHZ982972 OYD982969:OYD982972 OOH982969:OOH982972 OEL982969:OEL982972 NUP982969:NUP982972 NKT982969:NKT982972 NAX982969:NAX982972 MRB982969:MRB982972 MHF982969:MHF982972 LXJ982969:LXJ982972 LNN982969:LNN982972 LDR982969:LDR982972 KTV982969:KTV982972 KJZ982969:KJZ982972 KAD982969:KAD982972 JQH982969:JQH982972 JGL982969:JGL982972 IWP982969:IWP982972 IMT982969:IMT982972 ICX982969:ICX982972 HTB982969:HTB982972 HJF982969:HJF982972 GZJ982969:GZJ982972 GPN982969:GPN982972 GFR982969:GFR982972 FVV982969:FVV982972 FLZ982969:FLZ982972 FCD982969:FCD982972 ESH982969:ESH982972 EIL982969:EIL982972 DYP982969:DYP982972 DOT982969:DOT982972 DEX982969:DEX982972 CVB982969:CVB982972 CLF982969:CLF982972 CBJ982969:CBJ982972 BRN982969:BRN982972 BHR982969:BHR982972 AXV982969:AXV982972 ANZ982969:ANZ982972 AED982969:AED982972 UH982969:UH982972 KL982969:KL982972 AA982969:AA982972 WWX917433:WWX917436 WNB917433:WNB917436 WDF917433:WDF917436 VTJ917433:VTJ917436 VJN917433:VJN917436 UZR917433:UZR917436 UPV917433:UPV917436 UFZ917433:UFZ917436 TWD917433:TWD917436 TMH917433:TMH917436 TCL917433:TCL917436 SSP917433:SSP917436 SIT917433:SIT917436 RYX917433:RYX917436 RPB917433:RPB917436 RFF917433:RFF917436 QVJ917433:QVJ917436 QLN917433:QLN917436 QBR917433:QBR917436 PRV917433:PRV917436 PHZ917433:PHZ917436 OYD917433:OYD917436 OOH917433:OOH917436 OEL917433:OEL917436 NUP917433:NUP917436 NKT917433:NKT917436 NAX917433:NAX917436 MRB917433:MRB917436 MHF917433:MHF917436 LXJ917433:LXJ917436 LNN917433:LNN917436 LDR917433:LDR917436 KTV917433:KTV917436 KJZ917433:KJZ917436 KAD917433:KAD917436 JQH917433:JQH917436 JGL917433:JGL917436 IWP917433:IWP917436 IMT917433:IMT917436 ICX917433:ICX917436 HTB917433:HTB917436 HJF917433:HJF917436 GZJ917433:GZJ917436 GPN917433:GPN917436 GFR917433:GFR917436 FVV917433:FVV917436 FLZ917433:FLZ917436 FCD917433:FCD917436 ESH917433:ESH917436 EIL917433:EIL917436 DYP917433:DYP917436 DOT917433:DOT917436 DEX917433:DEX917436 CVB917433:CVB917436 CLF917433:CLF917436 CBJ917433:CBJ917436 BRN917433:BRN917436 BHR917433:BHR917436 AXV917433:AXV917436 ANZ917433:ANZ917436 AED917433:AED917436 UH917433:UH917436 KL917433:KL917436 AA917433:AA917436 WWX851897:WWX851900 WNB851897:WNB851900 WDF851897:WDF851900 VTJ851897:VTJ851900 VJN851897:VJN851900 UZR851897:UZR851900 UPV851897:UPV851900 UFZ851897:UFZ851900 TWD851897:TWD851900 TMH851897:TMH851900 TCL851897:TCL851900 SSP851897:SSP851900 SIT851897:SIT851900 RYX851897:RYX851900 RPB851897:RPB851900 RFF851897:RFF851900 QVJ851897:QVJ851900 QLN851897:QLN851900 QBR851897:QBR851900 PRV851897:PRV851900 PHZ851897:PHZ851900 OYD851897:OYD851900 OOH851897:OOH851900 OEL851897:OEL851900 NUP851897:NUP851900 NKT851897:NKT851900 NAX851897:NAX851900 MRB851897:MRB851900 MHF851897:MHF851900 LXJ851897:LXJ851900 LNN851897:LNN851900 LDR851897:LDR851900 KTV851897:KTV851900 KJZ851897:KJZ851900 KAD851897:KAD851900 JQH851897:JQH851900 JGL851897:JGL851900 IWP851897:IWP851900 IMT851897:IMT851900 ICX851897:ICX851900 HTB851897:HTB851900 HJF851897:HJF851900 GZJ851897:GZJ851900 GPN851897:GPN851900 GFR851897:GFR851900 FVV851897:FVV851900 FLZ851897:FLZ851900 FCD851897:FCD851900 ESH851897:ESH851900 EIL851897:EIL851900 DYP851897:DYP851900 DOT851897:DOT851900 DEX851897:DEX851900 CVB851897:CVB851900 CLF851897:CLF851900 CBJ851897:CBJ851900 BRN851897:BRN851900 BHR851897:BHR851900 AXV851897:AXV851900 ANZ851897:ANZ851900 AED851897:AED851900 UH851897:UH851900 KL851897:KL851900 AA851897:AA851900 WWX786361:WWX786364 WNB786361:WNB786364 WDF786361:WDF786364 VTJ786361:VTJ786364 VJN786361:VJN786364 UZR786361:UZR786364 UPV786361:UPV786364 UFZ786361:UFZ786364 TWD786361:TWD786364 TMH786361:TMH786364 TCL786361:TCL786364 SSP786361:SSP786364 SIT786361:SIT786364 RYX786361:RYX786364 RPB786361:RPB786364 RFF786361:RFF786364 QVJ786361:QVJ786364 QLN786361:QLN786364 QBR786361:QBR786364 PRV786361:PRV786364 PHZ786361:PHZ786364 OYD786361:OYD786364 OOH786361:OOH786364 OEL786361:OEL786364 NUP786361:NUP786364 NKT786361:NKT786364 NAX786361:NAX786364 MRB786361:MRB786364 MHF786361:MHF786364 LXJ786361:LXJ786364 LNN786361:LNN786364 LDR786361:LDR786364 KTV786361:KTV786364 KJZ786361:KJZ786364 KAD786361:KAD786364 JQH786361:JQH786364 JGL786361:JGL786364 IWP786361:IWP786364 IMT786361:IMT786364 ICX786361:ICX786364 HTB786361:HTB786364 HJF786361:HJF786364 GZJ786361:GZJ786364 GPN786361:GPN786364 GFR786361:GFR786364 FVV786361:FVV786364 FLZ786361:FLZ786364 FCD786361:FCD786364 ESH786361:ESH786364 EIL786361:EIL786364 DYP786361:DYP786364 DOT786361:DOT786364 DEX786361:DEX786364 CVB786361:CVB786364 CLF786361:CLF786364 CBJ786361:CBJ786364 BRN786361:BRN786364 BHR786361:BHR786364 AXV786361:AXV786364 ANZ786361:ANZ786364 AED786361:AED786364 UH786361:UH786364 KL786361:KL786364 AA786361:AA786364 WWX720825:WWX720828 WNB720825:WNB720828 WDF720825:WDF720828 VTJ720825:VTJ720828 VJN720825:VJN720828 UZR720825:UZR720828 UPV720825:UPV720828 UFZ720825:UFZ720828 TWD720825:TWD720828 TMH720825:TMH720828 TCL720825:TCL720828 SSP720825:SSP720828 SIT720825:SIT720828 RYX720825:RYX720828 RPB720825:RPB720828 RFF720825:RFF720828 QVJ720825:QVJ720828 QLN720825:QLN720828 QBR720825:QBR720828 PRV720825:PRV720828 PHZ720825:PHZ720828 OYD720825:OYD720828 OOH720825:OOH720828 OEL720825:OEL720828 NUP720825:NUP720828 NKT720825:NKT720828 NAX720825:NAX720828 MRB720825:MRB720828 MHF720825:MHF720828 LXJ720825:LXJ720828 LNN720825:LNN720828 LDR720825:LDR720828 KTV720825:KTV720828 KJZ720825:KJZ720828 KAD720825:KAD720828 JQH720825:JQH720828 JGL720825:JGL720828 IWP720825:IWP720828 IMT720825:IMT720828 ICX720825:ICX720828 HTB720825:HTB720828 HJF720825:HJF720828 GZJ720825:GZJ720828 GPN720825:GPN720828 GFR720825:GFR720828 FVV720825:FVV720828 FLZ720825:FLZ720828 FCD720825:FCD720828 ESH720825:ESH720828 EIL720825:EIL720828 DYP720825:DYP720828 DOT720825:DOT720828 DEX720825:DEX720828 CVB720825:CVB720828 CLF720825:CLF720828 CBJ720825:CBJ720828 BRN720825:BRN720828 BHR720825:BHR720828 AXV720825:AXV720828 ANZ720825:ANZ720828 AED720825:AED720828 UH720825:UH720828 KL720825:KL720828 AA720825:AA720828 WWX655289:WWX655292 WNB655289:WNB655292 WDF655289:WDF655292 VTJ655289:VTJ655292 VJN655289:VJN655292 UZR655289:UZR655292 UPV655289:UPV655292 UFZ655289:UFZ655292 TWD655289:TWD655292 TMH655289:TMH655292 TCL655289:TCL655292 SSP655289:SSP655292 SIT655289:SIT655292 RYX655289:RYX655292 RPB655289:RPB655292 RFF655289:RFF655292 QVJ655289:QVJ655292 QLN655289:QLN655292 QBR655289:QBR655292 PRV655289:PRV655292 PHZ655289:PHZ655292 OYD655289:OYD655292 OOH655289:OOH655292 OEL655289:OEL655292 NUP655289:NUP655292 NKT655289:NKT655292 NAX655289:NAX655292 MRB655289:MRB655292 MHF655289:MHF655292 LXJ655289:LXJ655292 LNN655289:LNN655292 LDR655289:LDR655292 KTV655289:KTV655292 KJZ655289:KJZ655292 KAD655289:KAD655292 JQH655289:JQH655292 JGL655289:JGL655292 IWP655289:IWP655292 IMT655289:IMT655292 ICX655289:ICX655292 HTB655289:HTB655292 HJF655289:HJF655292 GZJ655289:GZJ655292 GPN655289:GPN655292 GFR655289:GFR655292 FVV655289:FVV655292 FLZ655289:FLZ655292 FCD655289:FCD655292 ESH655289:ESH655292 EIL655289:EIL655292 DYP655289:DYP655292 DOT655289:DOT655292 DEX655289:DEX655292 CVB655289:CVB655292 CLF655289:CLF655292 CBJ655289:CBJ655292 BRN655289:BRN655292 BHR655289:BHR655292 AXV655289:AXV655292 ANZ655289:ANZ655292 AED655289:AED655292 UH655289:UH655292 KL655289:KL655292 AA655289:AA655292 WWX589753:WWX589756 WNB589753:WNB589756 WDF589753:WDF589756 VTJ589753:VTJ589756 VJN589753:VJN589756 UZR589753:UZR589756 UPV589753:UPV589756 UFZ589753:UFZ589756 TWD589753:TWD589756 TMH589753:TMH589756 TCL589753:TCL589756 SSP589753:SSP589756 SIT589753:SIT589756 RYX589753:RYX589756 RPB589753:RPB589756 RFF589753:RFF589756 QVJ589753:QVJ589756 QLN589753:QLN589756 QBR589753:QBR589756 PRV589753:PRV589756 PHZ589753:PHZ589756 OYD589753:OYD589756 OOH589753:OOH589756 OEL589753:OEL589756 NUP589753:NUP589756 NKT589753:NKT589756 NAX589753:NAX589756 MRB589753:MRB589756 MHF589753:MHF589756 LXJ589753:LXJ589756 LNN589753:LNN589756 LDR589753:LDR589756 KTV589753:KTV589756 KJZ589753:KJZ589756 KAD589753:KAD589756 JQH589753:JQH589756 JGL589753:JGL589756 IWP589753:IWP589756 IMT589753:IMT589756 ICX589753:ICX589756 HTB589753:HTB589756 HJF589753:HJF589756 GZJ589753:GZJ589756 GPN589753:GPN589756 GFR589753:GFR589756 FVV589753:FVV589756 FLZ589753:FLZ589756 FCD589753:FCD589756 ESH589753:ESH589756 EIL589753:EIL589756 DYP589753:DYP589756 DOT589753:DOT589756 DEX589753:DEX589756 CVB589753:CVB589756 CLF589753:CLF589756 CBJ589753:CBJ589756 BRN589753:BRN589756 BHR589753:BHR589756 AXV589753:AXV589756 ANZ589753:ANZ589756 AED589753:AED589756 UH589753:UH589756 KL589753:KL589756 AA589753:AA589756 WWX524217:WWX524220 WNB524217:WNB524220 WDF524217:WDF524220 VTJ524217:VTJ524220 VJN524217:VJN524220 UZR524217:UZR524220 UPV524217:UPV524220 UFZ524217:UFZ524220 TWD524217:TWD524220 TMH524217:TMH524220 TCL524217:TCL524220 SSP524217:SSP524220 SIT524217:SIT524220 RYX524217:RYX524220 RPB524217:RPB524220 RFF524217:RFF524220 QVJ524217:QVJ524220 QLN524217:QLN524220 QBR524217:QBR524220 PRV524217:PRV524220 PHZ524217:PHZ524220 OYD524217:OYD524220 OOH524217:OOH524220 OEL524217:OEL524220 NUP524217:NUP524220 NKT524217:NKT524220 NAX524217:NAX524220 MRB524217:MRB524220 MHF524217:MHF524220 LXJ524217:LXJ524220 LNN524217:LNN524220 LDR524217:LDR524220 KTV524217:KTV524220 KJZ524217:KJZ524220 KAD524217:KAD524220 JQH524217:JQH524220 JGL524217:JGL524220 IWP524217:IWP524220 IMT524217:IMT524220 ICX524217:ICX524220 HTB524217:HTB524220 HJF524217:HJF524220 GZJ524217:GZJ524220 GPN524217:GPN524220 GFR524217:GFR524220 FVV524217:FVV524220 FLZ524217:FLZ524220 FCD524217:FCD524220 ESH524217:ESH524220 EIL524217:EIL524220 DYP524217:DYP524220 DOT524217:DOT524220 DEX524217:DEX524220 CVB524217:CVB524220 CLF524217:CLF524220 CBJ524217:CBJ524220 BRN524217:BRN524220 BHR524217:BHR524220 AXV524217:AXV524220 ANZ524217:ANZ524220 AED524217:AED524220 UH524217:UH524220 KL524217:KL524220 AA524217:AA524220 WWX458681:WWX458684 WNB458681:WNB458684 WDF458681:WDF458684 VTJ458681:VTJ458684 VJN458681:VJN458684 UZR458681:UZR458684 UPV458681:UPV458684 UFZ458681:UFZ458684 TWD458681:TWD458684 TMH458681:TMH458684 TCL458681:TCL458684 SSP458681:SSP458684 SIT458681:SIT458684 RYX458681:RYX458684 RPB458681:RPB458684 RFF458681:RFF458684 QVJ458681:QVJ458684 QLN458681:QLN458684 QBR458681:QBR458684 PRV458681:PRV458684 PHZ458681:PHZ458684 OYD458681:OYD458684 OOH458681:OOH458684 OEL458681:OEL458684 NUP458681:NUP458684 NKT458681:NKT458684 NAX458681:NAX458684 MRB458681:MRB458684 MHF458681:MHF458684 LXJ458681:LXJ458684 LNN458681:LNN458684 LDR458681:LDR458684 KTV458681:KTV458684 KJZ458681:KJZ458684 KAD458681:KAD458684 JQH458681:JQH458684 JGL458681:JGL458684 IWP458681:IWP458684 IMT458681:IMT458684 ICX458681:ICX458684 HTB458681:HTB458684 HJF458681:HJF458684 GZJ458681:GZJ458684 GPN458681:GPN458684 GFR458681:GFR458684 FVV458681:FVV458684 FLZ458681:FLZ458684 FCD458681:FCD458684 ESH458681:ESH458684 EIL458681:EIL458684 DYP458681:DYP458684 DOT458681:DOT458684 DEX458681:DEX458684 CVB458681:CVB458684 CLF458681:CLF458684 CBJ458681:CBJ458684 BRN458681:BRN458684 BHR458681:BHR458684 AXV458681:AXV458684 ANZ458681:ANZ458684 AED458681:AED458684 UH458681:UH458684 KL458681:KL458684 AA458681:AA458684 WWX393145:WWX393148 WNB393145:WNB393148 WDF393145:WDF393148 VTJ393145:VTJ393148 VJN393145:VJN393148 UZR393145:UZR393148 UPV393145:UPV393148 UFZ393145:UFZ393148 TWD393145:TWD393148 TMH393145:TMH393148 TCL393145:TCL393148 SSP393145:SSP393148 SIT393145:SIT393148 RYX393145:RYX393148 RPB393145:RPB393148 RFF393145:RFF393148 QVJ393145:QVJ393148 QLN393145:QLN393148 QBR393145:QBR393148 PRV393145:PRV393148 PHZ393145:PHZ393148 OYD393145:OYD393148 OOH393145:OOH393148 OEL393145:OEL393148 NUP393145:NUP393148 NKT393145:NKT393148 NAX393145:NAX393148 MRB393145:MRB393148 MHF393145:MHF393148 LXJ393145:LXJ393148 LNN393145:LNN393148 LDR393145:LDR393148 KTV393145:KTV393148 KJZ393145:KJZ393148 KAD393145:KAD393148 JQH393145:JQH393148 JGL393145:JGL393148 IWP393145:IWP393148 IMT393145:IMT393148 ICX393145:ICX393148 HTB393145:HTB393148 HJF393145:HJF393148 GZJ393145:GZJ393148 GPN393145:GPN393148 GFR393145:GFR393148 FVV393145:FVV393148 FLZ393145:FLZ393148 FCD393145:FCD393148 ESH393145:ESH393148 EIL393145:EIL393148 DYP393145:DYP393148 DOT393145:DOT393148 DEX393145:DEX393148 CVB393145:CVB393148 CLF393145:CLF393148 CBJ393145:CBJ393148 BRN393145:BRN393148 BHR393145:BHR393148 AXV393145:AXV393148 ANZ393145:ANZ393148 AED393145:AED393148 UH393145:UH393148 KL393145:KL393148 AA393145:AA393148 WWX327609:WWX327612 WNB327609:WNB327612 WDF327609:WDF327612 VTJ327609:VTJ327612 VJN327609:VJN327612 UZR327609:UZR327612 UPV327609:UPV327612 UFZ327609:UFZ327612 TWD327609:TWD327612 TMH327609:TMH327612 TCL327609:TCL327612 SSP327609:SSP327612 SIT327609:SIT327612 RYX327609:RYX327612 RPB327609:RPB327612 RFF327609:RFF327612 QVJ327609:QVJ327612 QLN327609:QLN327612 QBR327609:QBR327612 PRV327609:PRV327612 PHZ327609:PHZ327612 OYD327609:OYD327612 OOH327609:OOH327612 OEL327609:OEL327612 NUP327609:NUP327612 NKT327609:NKT327612 NAX327609:NAX327612 MRB327609:MRB327612 MHF327609:MHF327612 LXJ327609:LXJ327612 LNN327609:LNN327612 LDR327609:LDR327612 KTV327609:KTV327612 KJZ327609:KJZ327612 KAD327609:KAD327612 JQH327609:JQH327612 JGL327609:JGL327612 IWP327609:IWP327612 IMT327609:IMT327612 ICX327609:ICX327612 HTB327609:HTB327612 HJF327609:HJF327612 GZJ327609:GZJ327612 GPN327609:GPN327612 GFR327609:GFR327612 FVV327609:FVV327612 FLZ327609:FLZ327612 FCD327609:FCD327612 ESH327609:ESH327612 EIL327609:EIL327612 DYP327609:DYP327612 DOT327609:DOT327612 DEX327609:DEX327612 CVB327609:CVB327612 CLF327609:CLF327612 CBJ327609:CBJ327612 BRN327609:BRN327612 BHR327609:BHR327612 AXV327609:AXV327612 ANZ327609:ANZ327612 AED327609:AED327612 UH327609:UH327612 KL327609:KL327612 AA327609:AA327612 WWX262073:WWX262076 WNB262073:WNB262076 WDF262073:WDF262076 VTJ262073:VTJ262076 VJN262073:VJN262076 UZR262073:UZR262076 UPV262073:UPV262076 UFZ262073:UFZ262076 TWD262073:TWD262076 TMH262073:TMH262076 TCL262073:TCL262076 SSP262073:SSP262076 SIT262073:SIT262076 RYX262073:RYX262076 RPB262073:RPB262076 RFF262073:RFF262076 QVJ262073:QVJ262076 QLN262073:QLN262076 QBR262073:QBR262076 PRV262073:PRV262076 PHZ262073:PHZ262076 OYD262073:OYD262076 OOH262073:OOH262076 OEL262073:OEL262076 NUP262073:NUP262076 NKT262073:NKT262076 NAX262073:NAX262076 MRB262073:MRB262076 MHF262073:MHF262076 LXJ262073:LXJ262076 LNN262073:LNN262076 LDR262073:LDR262076 KTV262073:KTV262076 KJZ262073:KJZ262076 KAD262073:KAD262076 JQH262073:JQH262076 JGL262073:JGL262076 IWP262073:IWP262076 IMT262073:IMT262076 ICX262073:ICX262076 HTB262073:HTB262076 HJF262073:HJF262076 GZJ262073:GZJ262076 GPN262073:GPN262076 GFR262073:GFR262076 FVV262073:FVV262076 FLZ262073:FLZ262076 FCD262073:FCD262076 ESH262073:ESH262076 EIL262073:EIL262076 DYP262073:DYP262076 DOT262073:DOT262076 DEX262073:DEX262076 CVB262073:CVB262076 CLF262073:CLF262076 CBJ262073:CBJ262076 BRN262073:BRN262076 BHR262073:BHR262076 AXV262073:AXV262076 ANZ262073:ANZ262076 AED262073:AED262076 UH262073:UH262076 KL262073:KL262076 AA262073:AA262076 WWX196537:WWX196540 WNB196537:WNB196540 WDF196537:WDF196540 VTJ196537:VTJ196540 VJN196537:VJN196540 UZR196537:UZR196540 UPV196537:UPV196540 UFZ196537:UFZ196540 TWD196537:TWD196540 TMH196537:TMH196540 TCL196537:TCL196540 SSP196537:SSP196540 SIT196537:SIT196540 RYX196537:RYX196540 RPB196537:RPB196540 RFF196537:RFF196540 QVJ196537:QVJ196540 QLN196537:QLN196540 QBR196537:QBR196540 PRV196537:PRV196540 PHZ196537:PHZ196540 OYD196537:OYD196540 OOH196537:OOH196540 OEL196537:OEL196540 NUP196537:NUP196540 NKT196537:NKT196540 NAX196537:NAX196540 MRB196537:MRB196540 MHF196537:MHF196540 LXJ196537:LXJ196540 LNN196537:LNN196540 LDR196537:LDR196540 KTV196537:KTV196540 KJZ196537:KJZ196540 KAD196537:KAD196540 JQH196537:JQH196540 JGL196537:JGL196540 IWP196537:IWP196540 IMT196537:IMT196540 ICX196537:ICX196540 HTB196537:HTB196540 HJF196537:HJF196540 GZJ196537:GZJ196540 GPN196537:GPN196540 GFR196537:GFR196540 FVV196537:FVV196540 FLZ196537:FLZ196540 FCD196537:FCD196540 ESH196537:ESH196540 EIL196537:EIL196540 DYP196537:DYP196540 DOT196537:DOT196540 DEX196537:DEX196540 CVB196537:CVB196540 CLF196537:CLF196540 CBJ196537:CBJ196540 BRN196537:BRN196540 BHR196537:BHR196540 AXV196537:AXV196540 ANZ196537:ANZ196540 AED196537:AED196540 UH196537:UH196540 KL196537:KL196540 AA196537:AA196540 WWX131001:WWX131004 WNB131001:WNB131004 WDF131001:WDF131004 VTJ131001:VTJ131004 VJN131001:VJN131004 UZR131001:UZR131004 UPV131001:UPV131004 UFZ131001:UFZ131004 TWD131001:TWD131004 TMH131001:TMH131004 TCL131001:TCL131004 SSP131001:SSP131004 SIT131001:SIT131004 RYX131001:RYX131004 RPB131001:RPB131004 RFF131001:RFF131004 QVJ131001:QVJ131004 QLN131001:QLN131004 QBR131001:QBR131004 PRV131001:PRV131004 PHZ131001:PHZ131004 OYD131001:OYD131004 OOH131001:OOH131004 OEL131001:OEL131004 NUP131001:NUP131004 NKT131001:NKT131004 NAX131001:NAX131004 MRB131001:MRB131004 MHF131001:MHF131004 LXJ131001:LXJ131004 LNN131001:LNN131004 LDR131001:LDR131004 KTV131001:KTV131004 KJZ131001:KJZ131004 KAD131001:KAD131004 JQH131001:JQH131004 JGL131001:JGL131004 IWP131001:IWP131004 IMT131001:IMT131004 ICX131001:ICX131004 HTB131001:HTB131004 HJF131001:HJF131004 GZJ131001:GZJ131004 GPN131001:GPN131004 GFR131001:GFR131004 FVV131001:FVV131004 FLZ131001:FLZ131004 FCD131001:FCD131004 ESH131001:ESH131004 EIL131001:EIL131004 DYP131001:DYP131004 DOT131001:DOT131004 DEX131001:DEX131004 CVB131001:CVB131004 CLF131001:CLF131004 CBJ131001:CBJ131004 BRN131001:BRN131004 BHR131001:BHR131004 AXV131001:AXV131004 ANZ131001:ANZ131004 AED131001:AED131004 UH131001:UH131004 KL131001:KL131004 AA131001:AA131004 WWX65465:WWX65468 WNB65465:WNB65468 WDF65465:WDF65468 VTJ65465:VTJ65468 VJN65465:VJN65468 UZR65465:UZR65468 UPV65465:UPV65468 UFZ65465:UFZ65468 TWD65465:TWD65468 TMH65465:TMH65468 TCL65465:TCL65468 SSP65465:SSP65468 SIT65465:SIT65468 RYX65465:RYX65468 RPB65465:RPB65468 RFF65465:RFF65468 QVJ65465:QVJ65468 QLN65465:QLN65468 QBR65465:QBR65468 PRV65465:PRV65468 PHZ65465:PHZ65468 OYD65465:OYD65468 OOH65465:OOH65468 OEL65465:OEL65468 NUP65465:NUP65468 NKT65465:NKT65468 NAX65465:NAX65468 MRB65465:MRB65468 MHF65465:MHF65468 LXJ65465:LXJ65468 LNN65465:LNN65468 LDR65465:LDR65468 KTV65465:KTV65468 KJZ65465:KJZ65468 KAD65465:KAD65468 JQH65465:JQH65468 JGL65465:JGL65468 IWP65465:IWP65468 IMT65465:IMT65468 ICX65465:ICX65468 HTB65465:HTB65468 HJF65465:HJF65468 GZJ65465:GZJ65468 GPN65465:GPN65468 GFR65465:GFR65468 FVV65465:FVV65468 FLZ65465:FLZ65468 FCD65465:FCD65468 ESH65465:ESH65468 EIL65465:EIL65468 DYP65465:DYP65468 DOT65465:DOT65468 DEX65465:DEX65468 CVB65465:CVB65468 CLF65465:CLF65468 CBJ65465:CBJ65468 BRN65465:BRN65468 BHR65465:BHR65468 AXV65465:AXV65468 ANZ65465:ANZ65468 AED65465:AED65468 UH65465:UH65468 KL65465:KL65468 AA65465:AA65468">
      <formula1>$B$58:$B$61</formula1>
    </dataValidation>
    <dataValidation type="list" allowBlank="1" showInputMessage="1" showErrorMessage="1" sqref="WXX982969:WXX982972 WOB982969:WOB982972 WEF982969:WEF982972 VUJ982969:VUJ982972 VKN982969:VKN982972 VAR982969:VAR982972 UQV982969:UQV982972 UGZ982969:UGZ982972 TXD982969:TXD982972 TNH982969:TNH982972 TDL982969:TDL982972 STP982969:STP982972 SJT982969:SJT982972 RZX982969:RZX982972 RQB982969:RQB982972 RGF982969:RGF982972 QWJ982969:QWJ982972 QMN982969:QMN982972 QCR982969:QCR982972 PSV982969:PSV982972 PIZ982969:PIZ982972 OZD982969:OZD982972 OPH982969:OPH982972 OFL982969:OFL982972 NVP982969:NVP982972 NLT982969:NLT982972 NBX982969:NBX982972 MSB982969:MSB982972 MIF982969:MIF982972 LYJ982969:LYJ982972 LON982969:LON982972 LER982969:LER982972 KUV982969:KUV982972 KKZ982969:KKZ982972 KBD982969:KBD982972 JRH982969:JRH982972 JHL982969:JHL982972 IXP982969:IXP982972 INT982969:INT982972 IDX982969:IDX982972 HUB982969:HUB982972 HKF982969:HKF982972 HAJ982969:HAJ982972 GQN982969:GQN982972 GGR982969:GGR982972 FWV982969:FWV982972 FMZ982969:FMZ982972 FDD982969:FDD982972 ETH982969:ETH982972 EJL982969:EJL982972 DZP982969:DZP982972 DPT982969:DPT982972 DFX982969:DFX982972 CWB982969:CWB982972 CMF982969:CMF982972 CCJ982969:CCJ982972 BSN982969:BSN982972 BIR982969:BIR982972 AYV982969:AYV982972 AOZ982969:AOZ982972 AFD982969:AFD982972 VH982969:VH982972 LL982969:LL982972 BN982969:BN982972 WXX917433:WXX917436 WOB917433:WOB917436 WEF917433:WEF917436 VUJ917433:VUJ917436 VKN917433:VKN917436 VAR917433:VAR917436 UQV917433:UQV917436 UGZ917433:UGZ917436 TXD917433:TXD917436 TNH917433:TNH917436 TDL917433:TDL917436 STP917433:STP917436 SJT917433:SJT917436 RZX917433:RZX917436 RQB917433:RQB917436 RGF917433:RGF917436 QWJ917433:QWJ917436 QMN917433:QMN917436 QCR917433:QCR917436 PSV917433:PSV917436 PIZ917433:PIZ917436 OZD917433:OZD917436 OPH917433:OPH917436 OFL917433:OFL917436 NVP917433:NVP917436 NLT917433:NLT917436 NBX917433:NBX917436 MSB917433:MSB917436 MIF917433:MIF917436 LYJ917433:LYJ917436 LON917433:LON917436 LER917433:LER917436 KUV917433:KUV917436 KKZ917433:KKZ917436 KBD917433:KBD917436 JRH917433:JRH917436 JHL917433:JHL917436 IXP917433:IXP917436 INT917433:INT917436 IDX917433:IDX917436 HUB917433:HUB917436 HKF917433:HKF917436 HAJ917433:HAJ917436 GQN917433:GQN917436 GGR917433:GGR917436 FWV917433:FWV917436 FMZ917433:FMZ917436 FDD917433:FDD917436 ETH917433:ETH917436 EJL917433:EJL917436 DZP917433:DZP917436 DPT917433:DPT917436 DFX917433:DFX917436 CWB917433:CWB917436 CMF917433:CMF917436 CCJ917433:CCJ917436 BSN917433:BSN917436 BIR917433:BIR917436 AYV917433:AYV917436 AOZ917433:AOZ917436 AFD917433:AFD917436 VH917433:VH917436 LL917433:LL917436 BN917433:BN917436 WXX851897:WXX851900 WOB851897:WOB851900 WEF851897:WEF851900 VUJ851897:VUJ851900 VKN851897:VKN851900 VAR851897:VAR851900 UQV851897:UQV851900 UGZ851897:UGZ851900 TXD851897:TXD851900 TNH851897:TNH851900 TDL851897:TDL851900 STP851897:STP851900 SJT851897:SJT851900 RZX851897:RZX851900 RQB851897:RQB851900 RGF851897:RGF851900 QWJ851897:QWJ851900 QMN851897:QMN851900 QCR851897:QCR851900 PSV851897:PSV851900 PIZ851897:PIZ851900 OZD851897:OZD851900 OPH851897:OPH851900 OFL851897:OFL851900 NVP851897:NVP851900 NLT851897:NLT851900 NBX851897:NBX851900 MSB851897:MSB851900 MIF851897:MIF851900 LYJ851897:LYJ851900 LON851897:LON851900 LER851897:LER851900 KUV851897:KUV851900 KKZ851897:KKZ851900 KBD851897:KBD851900 JRH851897:JRH851900 JHL851897:JHL851900 IXP851897:IXP851900 INT851897:INT851900 IDX851897:IDX851900 HUB851897:HUB851900 HKF851897:HKF851900 HAJ851897:HAJ851900 GQN851897:GQN851900 GGR851897:GGR851900 FWV851897:FWV851900 FMZ851897:FMZ851900 FDD851897:FDD851900 ETH851897:ETH851900 EJL851897:EJL851900 DZP851897:DZP851900 DPT851897:DPT851900 DFX851897:DFX851900 CWB851897:CWB851900 CMF851897:CMF851900 CCJ851897:CCJ851900 BSN851897:BSN851900 BIR851897:BIR851900 AYV851897:AYV851900 AOZ851897:AOZ851900 AFD851897:AFD851900 VH851897:VH851900 LL851897:LL851900 BN851897:BN851900 WXX786361:WXX786364 WOB786361:WOB786364 WEF786361:WEF786364 VUJ786361:VUJ786364 VKN786361:VKN786364 VAR786361:VAR786364 UQV786361:UQV786364 UGZ786361:UGZ786364 TXD786361:TXD786364 TNH786361:TNH786364 TDL786361:TDL786364 STP786361:STP786364 SJT786361:SJT786364 RZX786361:RZX786364 RQB786361:RQB786364 RGF786361:RGF786364 QWJ786361:QWJ786364 QMN786361:QMN786364 QCR786361:QCR786364 PSV786361:PSV786364 PIZ786361:PIZ786364 OZD786361:OZD786364 OPH786361:OPH786364 OFL786361:OFL786364 NVP786361:NVP786364 NLT786361:NLT786364 NBX786361:NBX786364 MSB786361:MSB786364 MIF786361:MIF786364 LYJ786361:LYJ786364 LON786361:LON786364 LER786361:LER786364 KUV786361:KUV786364 KKZ786361:KKZ786364 KBD786361:KBD786364 JRH786361:JRH786364 JHL786361:JHL786364 IXP786361:IXP786364 INT786361:INT786364 IDX786361:IDX786364 HUB786361:HUB786364 HKF786361:HKF786364 HAJ786361:HAJ786364 GQN786361:GQN786364 GGR786361:GGR786364 FWV786361:FWV786364 FMZ786361:FMZ786364 FDD786361:FDD786364 ETH786361:ETH786364 EJL786361:EJL786364 DZP786361:DZP786364 DPT786361:DPT786364 DFX786361:DFX786364 CWB786361:CWB786364 CMF786361:CMF786364 CCJ786361:CCJ786364 BSN786361:BSN786364 BIR786361:BIR786364 AYV786361:AYV786364 AOZ786361:AOZ786364 AFD786361:AFD786364 VH786361:VH786364 LL786361:LL786364 BN786361:BN786364 WXX720825:WXX720828 WOB720825:WOB720828 WEF720825:WEF720828 VUJ720825:VUJ720828 VKN720825:VKN720828 VAR720825:VAR720828 UQV720825:UQV720828 UGZ720825:UGZ720828 TXD720825:TXD720828 TNH720825:TNH720828 TDL720825:TDL720828 STP720825:STP720828 SJT720825:SJT720828 RZX720825:RZX720828 RQB720825:RQB720828 RGF720825:RGF720828 QWJ720825:QWJ720828 QMN720825:QMN720828 QCR720825:QCR720828 PSV720825:PSV720828 PIZ720825:PIZ720828 OZD720825:OZD720828 OPH720825:OPH720828 OFL720825:OFL720828 NVP720825:NVP720828 NLT720825:NLT720828 NBX720825:NBX720828 MSB720825:MSB720828 MIF720825:MIF720828 LYJ720825:LYJ720828 LON720825:LON720828 LER720825:LER720828 KUV720825:KUV720828 KKZ720825:KKZ720828 KBD720825:KBD720828 JRH720825:JRH720828 JHL720825:JHL720828 IXP720825:IXP720828 INT720825:INT720828 IDX720825:IDX720828 HUB720825:HUB720828 HKF720825:HKF720828 HAJ720825:HAJ720828 GQN720825:GQN720828 GGR720825:GGR720828 FWV720825:FWV720828 FMZ720825:FMZ720828 FDD720825:FDD720828 ETH720825:ETH720828 EJL720825:EJL720828 DZP720825:DZP720828 DPT720825:DPT720828 DFX720825:DFX720828 CWB720825:CWB720828 CMF720825:CMF720828 CCJ720825:CCJ720828 BSN720825:BSN720828 BIR720825:BIR720828 AYV720825:AYV720828 AOZ720825:AOZ720828 AFD720825:AFD720828 VH720825:VH720828 LL720825:LL720828 BN720825:BN720828 WXX655289:WXX655292 WOB655289:WOB655292 WEF655289:WEF655292 VUJ655289:VUJ655292 VKN655289:VKN655292 VAR655289:VAR655292 UQV655289:UQV655292 UGZ655289:UGZ655292 TXD655289:TXD655292 TNH655289:TNH655292 TDL655289:TDL655292 STP655289:STP655292 SJT655289:SJT655292 RZX655289:RZX655292 RQB655289:RQB655292 RGF655289:RGF655292 QWJ655289:QWJ655292 QMN655289:QMN655292 QCR655289:QCR655292 PSV655289:PSV655292 PIZ655289:PIZ655292 OZD655289:OZD655292 OPH655289:OPH655292 OFL655289:OFL655292 NVP655289:NVP655292 NLT655289:NLT655292 NBX655289:NBX655292 MSB655289:MSB655292 MIF655289:MIF655292 LYJ655289:LYJ655292 LON655289:LON655292 LER655289:LER655292 KUV655289:KUV655292 KKZ655289:KKZ655292 KBD655289:KBD655292 JRH655289:JRH655292 JHL655289:JHL655292 IXP655289:IXP655292 INT655289:INT655292 IDX655289:IDX655292 HUB655289:HUB655292 HKF655289:HKF655292 HAJ655289:HAJ655292 GQN655289:GQN655292 GGR655289:GGR655292 FWV655289:FWV655292 FMZ655289:FMZ655292 FDD655289:FDD655292 ETH655289:ETH655292 EJL655289:EJL655292 DZP655289:DZP655292 DPT655289:DPT655292 DFX655289:DFX655292 CWB655289:CWB655292 CMF655289:CMF655292 CCJ655289:CCJ655292 BSN655289:BSN655292 BIR655289:BIR655292 AYV655289:AYV655292 AOZ655289:AOZ655292 AFD655289:AFD655292 VH655289:VH655292 LL655289:LL655292 BN655289:BN655292 WXX589753:WXX589756 WOB589753:WOB589756 WEF589753:WEF589756 VUJ589753:VUJ589756 VKN589753:VKN589756 VAR589753:VAR589756 UQV589753:UQV589756 UGZ589753:UGZ589756 TXD589753:TXD589756 TNH589753:TNH589756 TDL589753:TDL589756 STP589753:STP589756 SJT589753:SJT589756 RZX589753:RZX589756 RQB589753:RQB589756 RGF589753:RGF589756 QWJ589753:QWJ589756 QMN589753:QMN589756 QCR589753:QCR589756 PSV589753:PSV589756 PIZ589753:PIZ589756 OZD589753:OZD589756 OPH589753:OPH589756 OFL589753:OFL589756 NVP589753:NVP589756 NLT589753:NLT589756 NBX589753:NBX589756 MSB589753:MSB589756 MIF589753:MIF589756 LYJ589753:LYJ589756 LON589753:LON589756 LER589753:LER589756 KUV589753:KUV589756 KKZ589753:KKZ589756 KBD589753:KBD589756 JRH589753:JRH589756 JHL589753:JHL589756 IXP589753:IXP589756 INT589753:INT589756 IDX589753:IDX589756 HUB589753:HUB589756 HKF589753:HKF589756 HAJ589753:HAJ589756 GQN589753:GQN589756 GGR589753:GGR589756 FWV589753:FWV589756 FMZ589753:FMZ589756 FDD589753:FDD589756 ETH589753:ETH589756 EJL589753:EJL589756 DZP589753:DZP589756 DPT589753:DPT589756 DFX589753:DFX589756 CWB589753:CWB589756 CMF589753:CMF589756 CCJ589753:CCJ589756 BSN589753:BSN589756 BIR589753:BIR589756 AYV589753:AYV589756 AOZ589753:AOZ589756 AFD589753:AFD589756 VH589753:VH589756 LL589753:LL589756 BN589753:BN589756 WXX524217:WXX524220 WOB524217:WOB524220 WEF524217:WEF524220 VUJ524217:VUJ524220 VKN524217:VKN524220 VAR524217:VAR524220 UQV524217:UQV524220 UGZ524217:UGZ524220 TXD524217:TXD524220 TNH524217:TNH524220 TDL524217:TDL524220 STP524217:STP524220 SJT524217:SJT524220 RZX524217:RZX524220 RQB524217:RQB524220 RGF524217:RGF524220 QWJ524217:QWJ524220 QMN524217:QMN524220 QCR524217:QCR524220 PSV524217:PSV524220 PIZ524217:PIZ524220 OZD524217:OZD524220 OPH524217:OPH524220 OFL524217:OFL524220 NVP524217:NVP524220 NLT524217:NLT524220 NBX524217:NBX524220 MSB524217:MSB524220 MIF524217:MIF524220 LYJ524217:LYJ524220 LON524217:LON524220 LER524217:LER524220 KUV524217:KUV524220 KKZ524217:KKZ524220 KBD524217:KBD524220 JRH524217:JRH524220 JHL524217:JHL524220 IXP524217:IXP524220 INT524217:INT524220 IDX524217:IDX524220 HUB524217:HUB524220 HKF524217:HKF524220 HAJ524217:HAJ524220 GQN524217:GQN524220 GGR524217:GGR524220 FWV524217:FWV524220 FMZ524217:FMZ524220 FDD524217:FDD524220 ETH524217:ETH524220 EJL524217:EJL524220 DZP524217:DZP524220 DPT524217:DPT524220 DFX524217:DFX524220 CWB524217:CWB524220 CMF524217:CMF524220 CCJ524217:CCJ524220 BSN524217:BSN524220 BIR524217:BIR524220 AYV524217:AYV524220 AOZ524217:AOZ524220 AFD524217:AFD524220 VH524217:VH524220 LL524217:LL524220 BN524217:BN524220 WXX458681:WXX458684 WOB458681:WOB458684 WEF458681:WEF458684 VUJ458681:VUJ458684 VKN458681:VKN458684 VAR458681:VAR458684 UQV458681:UQV458684 UGZ458681:UGZ458684 TXD458681:TXD458684 TNH458681:TNH458684 TDL458681:TDL458684 STP458681:STP458684 SJT458681:SJT458684 RZX458681:RZX458684 RQB458681:RQB458684 RGF458681:RGF458684 QWJ458681:QWJ458684 QMN458681:QMN458684 QCR458681:QCR458684 PSV458681:PSV458684 PIZ458681:PIZ458684 OZD458681:OZD458684 OPH458681:OPH458684 OFL458681:OFL458684 NVP458681:NVP458684 NLT458681:NLT458684 NBX458681:NBX458684 MSB458681:MSB458684 MIF458681:MIF458684 LYJ458681:LYJ458684 LON458681:LON458684 LER458681:LER458684 KUV458681:KUV458684 KKZ458681:KKZ458684 KBD458681:KBD458684 JRH458681:JRH458684 JHL458681:JHL458684 IXP458681:IXP458684 INT458681:INT458684 IDX458681:IDX458684 HUB458681:HUB458684 HKF458681:HKF458684 HAJ458681:HAJ458684 GQN458681:GQN458684 GGR458681:GGR458684 FWV458681:FWV458684 FMZ458681:FMZ458684 FDD458681:FDD458684 ETH458681:ETH458684 EJL458681:EJL458684 DZP458681:DZP458684 DPT458681:DPT458684 DFX458681:DFX458684 CWB458681:CWB458684 CMF458681:CMF458684 CCJ458681:CCJ458684 BSN458681:BSN458684 BIR458681:BIR458684 AYV458681:AYV458684 AOZ458681:AOZ458684 AFD458681:AFD458684 VH458681:VH458684 LL458681:LL458684 BN458681:BN458684 WXX393145:WXX393148 WOB393145:WOB393148 WEF393145:WEF393148 VUJ393145:VUJ393148 VKN393145:VKN393148 VAR393145:VAR393148 UQV393145:UQV393148 UGZ393145:UGZ393148 TXD393145:TXD393148 TNH393145:TNH393148 TDL393145:TDL393148 STP393145:STP393148 SJT393145:SJT393148 RZX393145:RZX393148 RQB393145:RQB393148 RGF393145:RGF393148 QWJ393145:QWJ393148 QMN393145:QMN393148 QCR393145:QCR393148 PSV393145:PSV393148 PIZ393145:PIZ393148 OZD393145:OZD393148 OPH393145:OPH393148 OFL393145:OFL393148 NVP393145:NVP393148 NLT393145:NLT393148 NBX393145:NBX393148 MSB393145:MSB393148 MIF393145:MIF393148 LYJ393145:LYJ393148 LON393145:LON393148 LER393145:LER393148 KUV393145:KUV393148 KKZ393145:KKZ393148 KBD393145:KBD393148 JRH393145:JRH393148 JHL393145:JHL393148 IXP393145:IXP393148 INT393145:INT393148 IDX393145:IDX393148 HUB393145:HUB393148 HKF393145:HKF393148 HAJ393145:HAJ393148 GQN393145:GQN393148 GGR393145:GGR393148 FWV393145:FWV393148 FMZ393145:FMZ393148 FDD393145:FDD393148 ETH393145:ETH393148 EJL393145:EJL393148 DZP393145:DZP393148 DPT393145:DPT393148 DFX393145:DFX393148 CWB393145:CWB393148 CMF393145:CMF393148 CCJ393145:CCJ393148 BSN393145:BSN393148 BIR393145:BIR393148 AYV393145:AYV393148 AOZ393145:AOZ393148 AFD393145:AFD393148 VH393145:VH393148 LL393145:LL393148 BN393145:BN393148 WXX327609:WXX327612 WOB327609:WOB327612 WEF327609:WEF327612 VUJ327609:VUJ327612 VKN327609:VKN327612 VAR327609:VAR327612 UQV327609:UQV327612 UGZ327609:UGZ327612 TXD327609:TXD327612 TNH327609:TNH327612 TDL327609:TDL327612 STP327609:STP327612 SJT327609:SJT327612 RZX327609:RZX327612 RQB327609:RQB327612 RGF327609:RGF327612 QWJ327609:QWJ327612 QMN327609:QMN327612 QCR327609:QCR327612 PSV327609:PSV327612 PIZ327609:PIZ327612 OZD327609:OZD327612 OPH327609:OPH327612 OFL327609:OFL327612 NVP327609:NVP327612 NLT327609:NLT327612 NBX327609:NBX327612 MSB327609:MSB327612 MIF327609:MIF327612 LYJ327609:LYJ327612 LON327609:LON327612 LER327609:LER327612 KUV327609:KUV327612 KKZ327609:KKZ327612 KBD327609:KBD327612 JRH327609:JRH327612 JHL327609:JHL327612 IXP327609:IXP327612 INT327609:INT327612 IDX327609:IDX327612 HUB327609:HUB327612 HKF327609:HKF327612 HAJ327609:HAJ327612 GQN327609:GQN327612 GGR327609:GGR327612 FWV327609:FWV327612 FMZ327609:FMZ327612 FDD327609:FDD327612 ETH327609:ETH327612 EJL327609:EJL327612 DZP327609:DZP327612 DPT327609:DPT327612 DFX327609:DFX327612 CWB327609:CWB327612 CMF327609:CMF327612 CCJ327609:CCJ327612 BSN327609:BSN327612 BIR327609:BIR327612 AYV327609:AYV327612 AOZ327609:AOZ327612 AFD327609:AFD327612 VH327609:VH327612 LL327609:LL327612 BN327609:BN327612 WXX262073:WXX262076 WOB262073:WOB262076 WEF262073:WEF262076 VUJ262073:VUJ262076 VKN262073:VKN262076 VAR262073:VAR262076 UQV262073:UQV262076 UGZ262073:UGZ262076 TXD262073:TXD262076 TNH262073:TNH262076 TDL262073:TDL262076 STP262073:STP262076 SJT262073:SJT262076 RZX262073:RZX262076 RQB262073:RQB262076 RGF262073:RGF262076 QWJ262073:QWJ262076 QMN262073:QMN262076 QCR262073:QCR262076 PSV262073:PSV262076 PIZ262073:PIZ262076 OZD262073:OZD262076 OPH262073:OPH262076 OFL262073:OFL262076 NVP262073:NVP262076 NLT262073:NLT262076 NBX262073:NBX262076 MSB262073:MSB262076 MIF262073:MIF262076 LYJ262073:LYJ262076 LON262073:LON262076 LER262073:LER262076 KUV262073:KUV262076 KKZ262073:KKZ262076 KBD262073:KBD262076 JRH262073:JRH262076 JHL262073:JHL262076 IXP262073:IXP262076 INT262073:INT262076 IDX262073:IDX262076 HUB262073:HUB262076 HKF262073:HKF262076 HAJ262073:HAJ262076 GQN262073:GQN262076 GGR262073:GGR262076 FWV262073:FWV262076 FMZ262073:FMZ262076 FDD262073:FDD262076 ETH262073:ETH262076 EJL262073:EJL262076 DZP262073:DZP262076 DPT262073:DPT262076 DFX262073:DFX262076 CWB262073:CWB262076 CMF262073:CMF262076 CCJ262073:CCJ262076 BSN262073:BSN262076 BIR262073:BIR262076 AYV262073:AYV262076 AOZ262073:AOZ262076 AFD262073:AFD262076 VH262073:VH262076 LL262073:LL262076 BN262073:BN262076 WXX196537:WXX196540 WOB196537:WOB196540 WEF196537:WEF196540 VUJ196537:VUJ196540 VKN196537:VKN196540 VAR196537:VAR196540 UQV196537:UQV196540 UGZ196537:UGZ196540 TXD196537:TXD196540 TNH196537:TNH196540 TDL196537:TDL196540 STP196537:STP196540 SJT196537:SJT196540 RZX196537:RZX196540 RQB196537:RQB196540 RGF196537:RGF196540 QWJ196537:QWJ196540 QMN196537:QMN196540 QCR196537:QCR196540 PSV196537:PSV196540 PIZ196537:PIZ196540 OZD196537:OZD196540 OPH196537:OPH196540 OFL196537:OFL196540 NVP196537:NVP196540 NLT196537:NLT196540 NBX196537:NBX196540 MSB196537:MSB196540 MIF196537:MIF196540 LYJ196537:LYJ196540 LON196537:LON196540 LER196537:LER196540 KUV196537:KUV196540 KKZ196537:KKZ196540 KBD196537:KBD196540 JRH196537:JRH196540 JHL196537:JHL196540 IXP196537:IXP196540 INT196537:INT196540 IDX196537:IDX196540 HUB196537:HUB196540 HKF196537:HKF196540 HAJ196537:HAJ196540 GQN196537:GQN196540 GGR196537:GGR196540 FWV196537:FWV196540 FMZ196537:FMZ196540 FDD196537:FDD196540 ETH196537:ETH196540 EJL196537:EJL196540 DZP196537:DZP196540 DPT196537:DPT196540 DFX196537:DFX196540 CWB196537:CWB196540 CMF196537:CMF196540 CCJ196537:CCJ196540 BSN196537:BSN196540 BIR196537:BIR196540 AYV196537:AYV196540 AOZ196537:AOZ196540 AFD196537:AFD196540 VH196537:VH196540 LL196537:LL196540 BN196537:BN196540 WXX131001:WXX131004 WOB131001:WOB131004 WEF131001:WEF131004 VUJ131001:VUJ131004 VKN131001:VKN131004 VAR131001:VAR131004 UQV131001:UQV131004 UGZ131001:UGZ131004 TXD131001:TXD131004 TNH131001:TNH131004 TDL131001:TDL131004 STP131001:STP131004 SJT131001:SJT131004 RZX131001:RZX131004 RQB131001:RQB131004 RGF131001:RGF131004 QWJ131001:QWJ131004 QMN131001:QMN131004 QCR131001:QCR131004 PSV131001:PSV131004 PIZ131001:PIZ131004 OZD131001:OZD131004 OPH131001:OPH131004 OFL131001:OFL131004 NVP131001:NVP131004 NLT131001:NLT131004 NBX131001:NBX131004 MSB131001:MSB131004 MIF131001:MIF131004 LYJ131001:LYJ131004 LON131001:LON131004 LER131001:LER131004 KUV131001:KUV131004 KKZ131001:KKZ131004 KBD131001:KBD131004 JRH131001:JRH131004 JHL131001:JHL131004 IXP131001:IXP131004 INT131001:INT131004 IDX131001:IDX131004 HUB131001:HUB131004 HKF131001:HKF131004 HAJ131001:HAJ131004 GQN131001:GQN131004 GGR131001:GGR131004 FWV131001:FWV131004 FMZ131001:FMZ131004 FDD131001:FDD131004 ETH131001:ETH131004 EJL131001:EJL131004 DZP131001:DZP131004 DPT131001:DPT131004 DFX131001:DFX131004 CWB131001:CWB131004 CMF131001:CMF131004 CCJ131001:CCJ131004 BSN131001:BSN131004 BIR131001:BIR131004 AYV131001:AYV131004 AOZ131001:AOZ131004 AFD131001:AFD131004 VH131001:VH131004 LL131001:LL131004 BN131001:BN131004 WXX65465:WXX65468 WOB65465:WOB65468 WEF65465:WEF65468 VUJ65465:VUJ65468 VKN65465:VKN65468 VAR65465:VAR65468 UQV65465:UQV65468 UGZ65465:UGZ65468 TXD65465:TXD65468 TNH65465:TNH65468 TDL65465:TDL65468 STP65465:STP65468 SJT65465:SJT65468 RZX65465:RZX65468 RQB65465:RQB65468 RGF65465:RGF65468 QWJ65465:QWJ65468 QMN65465:QMN65468 QCR65465:QCR65468 PSV65465:PSV65468 PIZ65465:PIZ65468 OZD65465:OZD65468 OPH65465:OPH65468 OFL65465:OFL65468 NVP65465:NVP65468 NLT65465:NLT65468 NBX65465:NBX65468 MSB65465:MSB65468 MIF65465:MIF65468 LYJ65465:LYJ65468 LON65465:LON65468 LER65465:LER65468 KUV65465:KUV65468 KKZ65465:KKZ65468 KBD65465:KBD65468 JRH65465:JRH65468 JHL65465:JHL65468 IXP65465:IXP65468 INT65465:INT65468 IDX65465:IDX65468 HUB65465:HUB65468 HKF65465:HKF65468 HAJ65465:HAJ65468 GQN65465:GQN65468 GGR65465:GGR65468 FWV65465:FWV65468 FMZ65465:FMZ65468 FDD65465:FDD65468 ETH65465:ETH65468 EJL65465:EJL65468 DZP65465:DZP65468 DPT65465:DPT65468 DFX65465:DFX65468 CWB65465:CWB65468 CMF65465:CMF65468 CCJ65465:CCJ65468 BSN65465:BSN65468 BIR65465:BIR65468 AYV65465:AYV65468 AOZ65465:AOZ65468 AFD65465:AFD65468 VH65465:VH65468 LL65465:LL65468 BN65465:BN65468 WXQ982969:WXQ982972 WNU982969:WNU982972 WDY982969:WDY982972 VUC982969:VUC982972 VKG982969:VKG982972 VAK982969:VAK982972 UQO982969:UQO982972 UGS982969:UGS982972 TWW982969:TWW982972 TNA982969:TNA982972 TDE982969:TDE982972 STI982969:STI982972 SJM982969:SJM982972 RZQ982969:RZQ982972 RPU982969:RPU982972 RFY982969:RFY982972 QWC982969:QWC982972 QMG982969:QMG982972 QCK982969:QCK982972 PSO982969:PSO982972 PIS982969:PIS982972 OYW982969:OYW982972 OPA982969:OPA982972 OFE982969:OFE982972 NVI982969:NVI982972 NLM982969:NLM982972 NBQ982969:NBQ982972 MRU982969:MRU982972 MHY982969:MHY982972 LYC982969:LYC982972 LOG982969:LOG982972 LEK982969:LEK982972 KUO982969:KUO982972 KKS982969:KKS982972 KAW982969:KAW982972 JRA982969:JRA982972 JHE982969:JHE982972 IXI982969:IXI982972 INM982969:INM982972 IDQ982969:IDQ982972 HTU982969:HTU982972 HJY982969:HJY982972 HAC982969:HAC982972 GQG982969:GQG982972 GGK982969:GGK982972 FWO982969:FWO982972 FMS982969:FMS982972 FCW982969:FCW982972 ETA982969:ETA982972 EJE982969:EJE982972 DZI982969:DZI982972 DPM982969:DPM982972 DFQ982969:DFQ982972 CVU982969:CVU982972 CLY982969:CLY982972 CCC982969:CCC982972 BSG982969:BSG982972 BIK982969:BIK982972 AYO982969:AYO982972 AOS982969:AOS982972 AEW982969:AEW982972 VA982969:VA982972 LE982969:LE982972 BB982969:BB982972 WXQ917433:WXQ917436 WNU917433:WNU917436 WDY917433:WDY917436 VUC917433:VUC917436 VKG917433:VKG917436 VAK917433:VAK917436 UQO917433:UQO917436 UGS917433:UGS917436 TWW917433:TWW917436 TNA917433:TNA917436 TDE917433:TDE917436 STI917433:STI917436 SJM917433:SJM917436 RZQ917433:RZQ917436 RPU917433:RPU917436 RFY917433:RFY917436 QWC917433:QWC917436 QMG917433:QMG917436 QCK917433:QCK917436 PSO917433:PSO917436 PIS917433:PIS917436 OYW917433:OYW917436 OPA917433:OPA917436 OFE917433:OFE917436 NVI917433:NVI917436 NLM917433:NLM917436 NBQ917433:NBQ917436 MRU917433:MRU917436 MHY917433:MHY917436 LYC917433:LYC917436 LOG917433:LOG917436 LEK917433:LEK917436 KUO917433:KUO917436 KKS917433:KKS917436 KAW917433:KAW917436 JRA917433:JRA917436 JHE917433:JHE917436 IXI917433:IXI917436 INM917433:INM917436 IDQ917433:IDQ917436 HTU917433:HTU917436 HJY917433:HJY917436 HAC917433:HAC917436 GQG917433:GQG917436 GGK917433:GGK917436 FWO917433:FWO917436 FMS917433:FMS917436 FCW917433:FCW917436 ETA917433:ETA917436 EJE917433:EJE917436 DZI917433:DZI917436 DPM917433:DPM917436 DFQ917433:DFQ917436 CVU917433:CVU917436 CLY917433:CLY917436 CCC917433:CCC917436 BSG917433:BSG917436 BIK917433:BIK917436 AYO917433:AYO917436 AOS917433:AOS917436 AEW917433:AEW917436 VA917433:VA917436 LE917433:LE917436 BB917433:BB917436 WXQ851897:WXQ851900 WNU851897:WNU851900 WDY851897:WDY851900 VUC851897:VUC851900 VKG851897:VKG851900 VAK851897:VAK851900 UQO851897:UQO851900 UGS851897:UGS851900 TWW851897:TWW851900 TNA851897:TNA851900 TDE851897:TDE851900 STI851897:STI851900 SJM851897:SJM851900 RZQ851897:RZQ851900 RPU851897:RPU851900 RFY851897:RFY851900 QWC851897:QWC851900 QMG851897:QMG851900 QCK851897:QCK851900 PSO851897:PSO851900 PIS851897:PIS851900 OYW851897:OYW851900 OPA851897:OPA851900 OFE851897:OFE851900 NVI851897:NVI851900 NLM851897:NLM851900 NBQ851897:NBQ851900 MRU851897:MRU851900 MHY851897:MHY851900 LYC851897:LYC851900 LOG851897:LOG851900 LEK851897:LEK851900 KUO851897:KUO851900 KKS851897:KKS851900 KAW851897:KAW851900 JRA851897:JRA851900 JHE851897:JHE851900 IXI851897:IXI851900 INM851897:INM851900 IDQ851897:IDQ851900 HTU851897:HTU851900 HJY851897:HJY851900 HAC851897:HAC851900 GQG851897:GQG851900 GGK851897:GGK851900 FWO851897:FWO851900 FMS851897:FMS851900 FCW851897:FCW851900 ETA851897:ETA851900 EJE851897:EJE851900 DZI851897:DZI851900 DPM851897:DPM851900 DFQ851897:DFQ851900 CVU851897:CVU851900 CLY851897:CLY851900 CCC851897:CCC851900 BSG851897:BSG851900 BIK851897:BIK851900 AYO851897:AYO851900 AOS851897:AOS851900 AEW851897:AEW851900 VA851897:VA851900 LE851897:LE851900 BB851897:BB851900 WXQ786361:WXQ786364 WNU786361:WNU786364 WDY786361:WDY786364 VUC786361:VUC786364 VKG786361:VKG786364 VAK786361:VAK786364 UQO786361:UQO786364 UGS786361:UGS786364 TWW786361:TWW786364 TNA786361:TNA786364 TDE786361:TDE786364 STI786361:STI786364 SJM786361:SJM786364 RZQ786361:RZQ786364 RPU786361:RPU786364 RFY786361:RFY786364 QWC786361:QWC786364 QMG786361:QMG786364 QCK786361:QCK786364 PSO786361:PSO786364 PIS786361:PIS786364 OYW786361:OYW786364 OPA786361:OPA786364 OFE786361:OFE786364 NVI786361:NVI786364 NLM786361:NLM786364 NBQ786361:NBQ786364 MRU786361:MRU786364 MHY786361:MHY786364 LYC786361:LYC786364 LOG786361:LOG786364 LEK786361:LEK786364 KUO786361:KUO786364 KKS786361:KKS786364 KAW786361:KAW786364 JRA786361:JRA786364 JHE786361:JHE786364 IXI786361:IXI786364 INM786361:INM786364 IDQ786361:IDQ786364 HTU786361:HTU786364 HJY786361:HJY786364 HAC786361:HAC786364 GQG786361:GQG786364 GGK786361:GGK786364 FWO786361:FWO786364 FMS786361:FMS786364 FCW786361:FCW786364 ETA786361:ETA786364 EJE786361:EJE786364 DZI786361:DZI786364 DPM786361:DPM786364 DFQ786361:DFQ786364 CVU786361:CVU786364 CLY786361:CLY786364 CCC786361:CCC786364 BSG786361:BSG786364 BIK786361:BIK786364 AYO786361:AYO786364 AOS786361:AOS786364 AEW786361:AEW786364 VA786361:VA786364 LE786361:LE786364 BB786361:BB786364 WXQ720825:WXQ720828 WNU720825:WNU720828 WDY720825:WDY720828 VUC720825:VUC720828 VKG720825:VKG720828 VAK720825:VAK720828 UQO720825:UQO720828 UGS720825:UGS720828 TWW720825:TWW720828 TNA720825:TNA720828 TDE720825:TDE720828 STI720825:STI720828 SJM720825:SJM720828 RZQ720825:RZQ720828 RPU720825:RPU720828 RFY720825:RFY720828 QWC720825:QWC720828 QMG720825:QMG720828 QCK720825:QCK720828 PSO720825:PSO720828 PIS720825:PIS720828 OYW720825:OYW720828 OPA720825:OPA720828 OFE720825:OFE720828 NVI720825:NVI720828 NLM720825:NLM720828 NBQ720825:NBQ720828 MRU720825:MRU720828 MHY720825:MHY720828 LYC720825:LYC720828 LOG720825:LOG720828 LEK720825:LEK720828 KUO720825:KUO720828 KKS720825:KKS720828 KAW720825:KAW720828 JRA720825:JRA720828 JHE720825:JHE720828 IXI720825:IXI720828 INM720825:INM720828 IDQ720825:IDQ720828 HTU720825:HTU720828 HJY720825:HJY720828 HAC720825:HAC720828 GQG720825:GQG720828 GGK720825:GGK720828 FWO720825:FWO720828 FMS720825:FMS720828 FCW720825:FCW720828 ETA720825:ETA720828 EJE720825:EJE720828 DZI720825:DZI720828 DPM720825:DPM720828 DFQ720825:DFQ720828 CVU720825:CVU720828 CLY720825:CLY720828 CCC720825:CCC720828 BSG720825:BSG720828 BIK720825:BIK720828 AYO720825:AYO720828 AOS720825:AOS720828 AEW720825:AEW720828 VA720825:VA720828 LE720825:LE720828 BB720825:BB720828 WXQ655289:WXQ655292 WNU655289:WNU655292 WDY655289:WDY655292 VUC655289:VUC655292 VKG655289:VKG655292 VAK655289:VAK655292 UQO655289:UQO655292 UGS655289:UGS655292 TWW655289:TWW655292 TNA655289:TNA655292 TDE655289:TDE655292 STI655289:STI655292 SJM655289:SJM655292 RZQ655289:RZQ655292 RPU655289:RPU655292 RFY655289:RFY655292 QWC655289:QWC655292 QMG655289:QMG655292 QCK655289:QCK655292 PSO655289:PSO655292 PIS655289:PIS655292 OYW655289:OYW655292 OPA655289:OPA655292 OFE655289:OFE655292 NVI655289:NVI655292 NLM655289:NLM655292 NBQ655289:NBQ655292 MRU655289:MRU655292 MHY655289:MHY655292 LYC655289:LYC655292 LOG655289:LOG655292 LEK655289:LEK655292 KUO655289:KUO655292 KKS655289:KKS655292 KAW655289:KAW655292 JRA655289:JRA655292 JHE655289:JHE655292 IXI655289:IXI655292 INM655289:INM655292 IDQ655289:IDQ655292 HTU655289:HTU655292 HJY655289:HJY655292 HAC655289:HAC655292 GQG655289:GQG655292 GGK655289:GGK655292 FWO655289:FWO655292 FMS655289:FMS655292 FCW655289:FCW655292 ETA655289:ETA655292 EJE655289:EJE655292 DZI655289:DZI655292 DPM655289:DPM655292 DFQ655289:DFQ655292 CVU655289:CVU655292 CLY655289:CLY655292 CCC655289:CCC655292 BSG655289:BSG655292 BIK655289:BIK655292 AYO655289:AYO655292 AOS655289:AOS655292 AEW655289:AEW655292 VA655289:VA655292 LE655289:LE655292 BB655289:BB655292 WXQ589753:WXQ589756 WNU589753:WNU589756 WDY589753:WDY589756 VUC589753:VUC589756 VKG589753:VKG589756 VAK589753:VAK589756 UQO589753:UQO589756 UGS589753:UGS589756 TWW589753:TWW589756 TNA589753:TNA589756 TDE589753:TDE589756 STI589753:STI589756 SJM589753:SJM589756 RZQ589753:RZQ589756 RPU589753:RPU589756 RFY589753:RFY589756 QWC589753:QWC589756 QMG589753:QMG589756 QCK589753:QCK589756 PSO589753:PSO589756 PIS589753:PIS589756 OYW589753:OYW589756 OPA589753:OPA589756 OFE589753:OFE589756 NVI589753:NVI589756 NLM589753:NLM589756 NBQ589753:NBQ589756 MRU589753:MRU589756 MHY589753:MHY589756 LYC589753:LYC589756 LOG589753:LOG589756 LEK589753:LEK589756 KUO589753:KUO589756 KKS589753:KKS589756 KAW589753:KAW589756 JRA589753:JRA589756 JHE589753:JHE589756 IXI589753:IXI589756 INM589753:INM589756 IDQ589753:IDQ589756 HTU589753:HTU589756 HJY589753:HJY589756 HAC589753:HAC589756 GQG589753:GQG589756 GGK589753:GGK589756 FWO589753:FWO589756 FMS589753:FMS589756 FCW589753:FCW589756 ETA589753:ETA589756 EJE589753:EJE589756 DZI589753:DZI589756 DPM589753:DPM589756 DFQ589753:DFQ589756 CVU589753:CVU589756 CLY589753:CLY589756 CCC589753:CCC589756 BSG589753:BSG589756 BIK589753:BIK589756 AYO589753:AYO589756 AOS589753:AOS589756 AEW589753:AEW589756 VA589753:VA589756 LE589753:LE589756 BB589753:BB589756 WXQ524217:WXQ524220 WNU524217:WNU524220 WDY524217:WDY524220 VUC524217:VUC524220 VKG524217:VKG524220 VAK524217:VAK524220 UQO524217:UQO524220 UGS524217:UGS524220 TWW524217:TWW524220 TNA524217:TNA524220 TDE524217:TDE524220 STI524217:STI524220 SJM524217:SJM524220 RZQ524217:RZQ524220 RPU524217:RPU524220 RFY524217:RFY524220 QWC524217:QWC524220 QMG524217:QMG524220 QCK524217:QCK524220 PSO524217:PSO524220 PIS524217:PIS524220 OYW524217:OYW524220 OPA524217:OPA524220 OFE524217:OFE524220 NVI524217:NVI524220 NLM524217:NLM524220 NBQ524217:NBQ524220 MRU524217:MRU524220 MHY524217:MHY524220 LYC524217:LYC524220 LOG524217:LOG524220 LEK524217:LEK524220 KUO524217:KUO524220 KKS524217:KKS524220 KAW524217:KAW524220 JRA524217:JRA524220 JHE524217:JHE524220 IXI524217:IXI524220 INM524217:INM524220 IDQ524217:IDQ524220 HTU524217:HTU524220 HJY524217:HJY524220 HAC524217:HAC524220 GQG524217:GQG524220 GGK524217:GGK524220 FWO524217:FWO524220 FMS524217:FMS524220 FCW524217:FCW524220 ETA524217:ETA524220 EJE524217:EJE524220 DZI524217:DZI524220 DPM524217:DPM524220 DFQ524217:DFQ524220 CVU524217:CVU524220 CLY524217:CLY524220 CCC524217:CCC524220 BSG524217:BSG524220 BIK524217:BIK524220 AYO524217:AYO524220 AOS524217:AOS524220 AEW524217:AEW524220 VA524217:VA524220 LE524217:LE524220 BB524217:BB524220 WXQ458681:WXQ458684 WNU458681:WNU458684 WDY458681:WDY458684 VUC458681:VUC458684 VKG458681:VKG458684 VAK458681:VAK458684 UQO458681:UQO458684 UGS458681:UGS458684 TWW458681:TWW458684 TNA458681:TNA458684 TDE458681:TDE458684 STI458681:STI458684 SJM458681:SJM458684 RZQ458681:RZQ458684 RPU458681:RPU458684 RFY458681:RFY458684 QWC458681:QWC458684 QMG458681:QMG458684 QCK458681:QCK458684 PSO458681:PSO458684 PIS458681:PIS458684 OYW458681:OYW458684 OPA458681:OPA458684 OFE458681:OFE458684 NVI458681:NVI458684 NLM458681:NLM458684 NBQ458681:NBQ458684 MRU458681:MRU458684 MHY458681:MHY458684 LYC458681:LYC458684 LOG458681:LOG458684 LEK458681:LEK458684 KUO458681:KUO458684 KKS458681:KKS458684 KAW458681:KAW458684 JRA458681:JRA458684 JHE458681:JHE458684 IXI458681:IXI458684 INM458681:INM458684 IDQ458681:IDQ458684 HTU458681:HTU458684 HJY458681:HJY458684 HAC458681:HAC458684 GQG458681:GQG458684 GGK458681:GGK458684 FWO458681:FWO458684 FMS458681:FMS458684 FCW458681:FCW458684 ETA458681:ETA458684 EJE458681:EJE458684 DZI458681:DZI458684 DPM458681:DPM458684 DFQ458681:DFQ458684 CVU458681:CVU458684 CLY458681:CLY458684 CCC458681:CCC458684 BSG458681:BSG458684 BIK458681:BIK458684 AYO458681:AYO458684 AOS458681:AOS458684 AEW458681:AEW458684 VA458681:VA458684 LE458681:LE458684 BB458681:BB458684 WXQ393145:WXQ393148 WNU393145:WNU393148 WDY393145:WDY393148 VUC393145:VUC393148 VKG393145:VKG393148 VAK393145:VAK393148 UQO393145:UQO393148 UGS393145:UGS393148 TWW393145:TWW393148 TNA393145:TNA393148 TDE393145:TDE393148 STI393145:STI393148 SJM393145:SJM393148 RZQ393145:RZQ393148 RPU393145:RPU393148 RFY393145:RFY393148 QWC393145:QWC393148 QMG393145:QMG393148 QCK393145:QCK393148 PSO393145:PSO393148 PIS393145:PIS393148 OYW393145:OYW393148 OPA393145:OPA393148 OFE393145:OFE393148 NVI393145:NVI393148 NLM393145:NLM393148 NBQ393145:NBQ393148 MRU393145:MRU393148 MHY393145:MHY393148 LYC393145:LYC393148 LOG393145:LOG393148 LEK393145:LEK393148 KUO393145:KUO393148 KKS393145:KKS393148 KAW393145:KAW393148 JRA393145:JRA393148 JHE393145:JHE393148 IXI393145:IXI393148 INM393145:INM393148 IDQ393145:IDQ393148 HTU393145:HTU393148 HJY393145:HJY393148 HAC393145:HAC393148 GQG393145:GQG393148 GGK393145:GGK393148 FWO393145:FWO393148 FMS393145:FMS393148 FCW393145:FCW393148 ETA393145:ETA393148 EJE393145:EJE393148 DZI393145:DZI393148 DPM393145:DPM393148 DFQ393145:DFQ393148 CVU393145:CVU393148 CLY393145:CLY393148 CCC393145:CCC393148 BSG393145:BSG393148 BIK393145:BIK393148 AYO393145:AYO393148 AOS393145:AOS393148 AEW393145:AEW393148 VA393145:VA393148 LE393145:LE393148 BB393145:BB393148 WXQ327609:WXQ327612 WNU327609:WNU327612 WDY327609:WDY327612 VUC327609:VUC327612 VKG327609:VKG327612 VAK327609:VAK327612 UQO327609:UQO327612 UGS327609:UGS327612 TWW327609:TWW327612 TNA327609:TNA327612 TDE327609:TDE327612 STI327609:STI327612 SJM327609:SJM327612 RZQ327609:RZQ327612 RPU327609:RPU327612 RFY327609:RFY327612 QWC327609:QWC327612 QMG327609:QMG327612 QCK327609:QCK327612 PSO327609:PSO327612 PIS327609:PIS327612 OYW327609:OYW327612 OPA327609:OPA327612 OFE327609:OFE327612 NVI327609:NVI327612 NLM327609:NLM327612 NBQ327609:NBQ327612 MRU327609:MRU327612 MHY327609:MHY327612 LYC327609:LYC327612 LOG327609:LOG327612 LEK327609:LEK327612 KUO327609:KUO327612 KKS327609:KKS327612 KAW327609:KAW327612 JRA327609:JRA327612 JHE327609:JHE327612 IXI327609:IXI327612 INM327609:INM327612 IDQ327609:IDQ327612 HTU327609:HTU327612 HJY327609:HJY327612 HAC327609:HAC327612 GQG327609:GQG327612 GGK327609:GGK327612 FWO327609:FWO327612 FMS327609:FMS327612 FCW327609:FCW327612 ETA327609:ETA327612 EJE327609:EJE327612 DZI327609:DZI327612 DPM327609:DPM327612 DFQ327609:DFQ327612 CVU327609:CVU327612 CLY327609:CLY327612 CCC327609:CCC327612 BSG327609:BSG327612 BIK327609:BIK327612 AYO327609:AYO327612 AOS327609:AOS327612 AEW327609:AEW327612 VA327609:VA327612 LE327609:LE327612 BB327609:BB327612 WXQ262073:WXQ262076 WNU262073:WNU262076 WDY262073:WDY262076 VUC262073:VUC262076 VKG262073:VKG262076 VAK262073:VAK262076 UQO262073:UQO262076 UGS262073:UGS262076 TWW262073:TWW262076 TNA262073:TNA262076 TDE262073:TDE262076 STI262073:STI262076 SJM262073:SJM262076 RZQ262073:RZQ262076 RPU262073:RPU262076 RFY262073:RFY262076 QWC262073:QWC262076 QMG262073:QMG262076 QCK262073:QCK262076 PSO262073:PSO262076 PIS262073:PIS262076 OYW262073:OYW262076 OPA262073:OPA262076 OFE262073:OFE262076 NVI262073:NVI262076 NLM262073:NLM262076 NBQ262073:NBQ262076 MRU262073:MRU262076 MHY262073:MHY262076 LYC262073:LYC262076 LOG262073:LOG262076 LEK262073:LEK262076 KUO262073:KUO262076 KKS262073:KKS262076 KAW262073:KAW262076 JRA262073:JRA262076 JHE262073:JHE262076 IXI262073:IXI262076 INM262073:INM262076 IDQ262073:IDQ262076 HTU262073:HTU262076 HJY262073:HJY262076 HAC262073:HAC262076 GQG262073:GQG262076 GGK262073:GGK262076 FWO262073:FWO262076 FMS262073:FMS262076 FCW262073:FCW262076 ETA262073:ETA262076 EJE262073:EJE262076 DZI262073:DZI262076 DPM262073:DPM262076 DFQ262073:DFQ262076 CVU262073:CVU262076 CLY262073:CLY262076 CCC262073:CCC262076 BSG262073:BSG262076 BIK262073:BIK262076 AYO262073:AYO262076 AOS262073:AOS262076 AEW262073:AEW262076 VA262073:VA262076 LE262073:LE262076 BB262073:BB262076 WXQ196537:WXQ196540 WNU196537:WNU196540 WDY196537:WDY196540 VUC196537:VUC196540 VKG196537:VKG196540 VAK196537:VAK196540 UQO196537:UQO196540 UGS196537:UGS196540 TWW196537:TWW196540 TNA196537:TNA196540 TDE196537:TDE196540 STI196537:STI196540 SJM196537:SJM196540 RZQ196537:RZQ196540 RPU196537:RPU196540 RFY196537:RFY196540 QWC196537:QWC196540 QMG196537:QMG196540 QCK196537:QCK196540 PSO196537:PSO196540 PIS196537:PIS196540 OYW196537:OYW196540 OPA196537:OPA196540 OFE196537:OFE196540 NVI196537:NVI196540 NLM196537:NLM196540 NBQ196537:NBQ196540 MRU196537:MRU196540 MHY196537:MHY196540 LYC196537:LYC196540 LOG196537:LOG196540 LEK196537:LEK196540 KUO196537:KUO196540 KKS196537:KKS196540 KAW196537:KAW196540 JRA196537:JRA196540 JHE196537:JHE196540 IXI196537:IXI196540 INM196537:INM196540 IDQ196537:IDQ196540 HTU196537:HTU196540 HJY196537:HJY196540 HAC196537:HAC196540 GQG196537:GQG196540 GGK196537:GGK196540 FWO196537:FWO196540 FMS196537:FMS196540 FCW196537:FCW196540 ETA196537:ETA196540 EJE196537:EJE196540 DZI196537:DZI196540 DPM196537:DPM196540 DFQ196537:DFQ196540 CVU196537:CVU196540 CLY196537:CLY196540 CCC196537:CCC196540 BSG196537:BSG196540 BIK196537:BIK196540 AYO196537:AYO196540 AOS196537:AOS196540 AEW196537:AEW196540 VA196537:VA196540 LE196537:LE196540 BB196537:BB196540 WXQ131001:WXQ131004 WNU131001:WNU131004 WDY131001:WDY131004 VUC131001:VUC131004 VKG131001:VKG131004 VAK131001:VAK131004 UQO131001:UQO131004 UGS131001:UGS131004 TWW131001:TWW131004 TNA131001:TNA131004 TDE131001:TDE131004 STI131001:STI131004 SJM131001:SJM131004 RZQ131001:RZQ131004 RPU131001:RPU131004 RFY131001:RFY131004 QWC131001:QWC131004 QMG131001:QMG131004 QCK131001:QCK131004 PSO131001:PSO131004 PIS131001:PIS131004 OYW131001:OYW131004 OPA131001:OPA131004 OFE131001:OFE131004 NVI131001:NVI131004 NLM131001:NLM131004 NBQ131001:NBQ131004 MRU131001:MRU131004 MHY131001:MHY131004 LYC131001:LYC131004 LOG131001:LOG131004 LEK131001:LEK131004 KUO131001:KUO131004 KKS131001:KKS131004 KAW131001:KAW131004 JRA131001:JRA131004 JHE131001:JHE131004 IXI131001:IXI131004 INM131001:INM131004 IDQ131001:IDQ131004 HTU131001:HTU131004 HJY131001:HJY131004 HAC131001:HAC131004 GQG131001:GQG131004 GGK131001:GGK131004 FWO131001:FWO131004 FMS131001:FMS131004 FCW131001:FCW131004 ETA131001:ETA131004 EJE131001:EJE131004 DZI131001:DZI131004 DPM131001:DPM131004 DFQ131001:DFQ131004 CVU131001:CVU131004 CLY131001:CLY131004 CCC131001:CCC131004 BSG131001:BSG131004 BIK131001:BIK131004 AYO131001:AYO131004 AOS131001:AOS131004 AEW131001:AEW131004 VA131001:VA131004 LE131001:LE131004 BB131001:BB131004 WXQ65465:WXQ65468 WNU65465:WNU65468 WDY65465:WDY65468 VUC65465:VUC65468 VKG65465:VKG65468 VAK65465:VAK65468 UQO65465:UQO65468 UGS65465:UGS65468 TWW65465:TWW65468 TNA65465:TNA65468 TDE65465:TDE65468 STI65465:STI65468 SJM65465:SJM65468 RZQ65465:RZQ65468 RPU65465:RPU65468 RFY65465:RFY65468 QWC65465:QWC65468 QMG65465:QMG65468 QCK65465:QCK65468 PSO65465:PSO65468 PIS65465:PIS65468 OYW65465:OYW65468 OPA65465:OPA65468 OFE65465:OFE65468 NVI65465:NVI65468 NLM65465:NLM65468 NBQ65465:NBQ65468 MRU65465:MRU65468 MHY65465:MHY65468 LYC65465:LYC65468 LOG65465:LOG65468 LEK65465:LEK65468 KUO65465:KUO65468 KKS65465:KKS65468 KAW65465:KAW65468 JRA65465:JRA65468 JHE65465:JHE65468 IXI65465:IXI65468 INM65465:INM65468 IDQ65465:IDQ65468 HTU65465:HTU65468 HJY65465:HJY65468 HAC65465:HAC65468 GQG65465:GQG65468 GGK65465:GGK65468 FWO65465:FWO65468 FMS65465:FMS65468 FCW65465:FCW65468 ETA65465:ETA65468 EJE65465:EJE65468 DZI65465:DZI65468 DPM65465:DPM65468 DFQ65465:DFQ65468 CVU65465:CVU65468 CLY65465:CLY65468 CCC65465:CCC65468 BSG65465:BSG65468 BIK65465:BIK65468 AYO65465:AYO65468 AOS65465:AOS65468 AEW65465:AEW65468 VA65465:VA65468 LE65465:LE65468 BB65465:BB65468">
      <formula1>$E$58:$E$61</formula1>
    </dataValidation>
    <dataValidation type="list" allowBlank="1" showInputMessage="1" showErrorMessage="1" sqref="WYQ982969:WYS982972 WOU982969:WOW982972 WEY982969:WFA982972 VVC982969:VVE982972 VLG982969:VLI982972 VBK982969:VBM982972 URO982969:URQ982972 UHS982969:UHU982972 TXW982969:TXY982972 TOA982969:TOC982972 TEE982969:TEG982972 SUI982969:SUK982972 SKM982969:SKO982972 SAQ982969:SAS982972 RQU982969:RQW982972 RGY982969:RHA982972 QXC982969:QXE982972 QNG982969:QNI982972 QDK982969:QDM982972 PTO982969:PTQ982972 PJS982969:PJU982972 OZW982969:OZY982972 OQA982969:OQC982972 OGE982969:OGG982972 NWI982969:NWK982972 NMM982969:NMO982972 NCQ982969:NCS982972 MSU982969:MSW982972 MIY982969:MJA982972 LZC982969:LZE982972 LPG982969:LPI982972 LFK982969:LFM982972 KVO982969:KVQ982972 KLS982969:KLU982972 KBW982969:KBY982972 JSA982969:JSC982972 JIE982969:JIG982972 IYI982969:IYK982972 IOM982969:IOO982972 IEQ982969:IES982972 HUU982969:HUW982972 HKY982969:HLA982972 HBC982969:HBE982972 GRG982969:GRI982972 GHK982969:GHM982972 FXO982969:FXQ982972 FNS982969:FNU982972 FDW982969:FDY982972 EUA982969:EUC982972 EKE982969:EKG982972 EAI982969:EAK982972 DQM982969:DQO982972 DGQ982969:DGS982972 CWU982969:CWW982972 CMY982969:CNA982972 CDC982969:CDE982972 BTG982969:BTI982972 BJK982969:BJM982972 AZO982969:AZQ982972 APS982969:APU982972 AFW982969:AFY982972 WA982969:WC982972 ME982969:MG982972 CO982969:CO982972 WYQ917433:WYS917436 WOU917433:WOW917436 WEY917433:WFA917436 VVC917433:VVE917436 VLG917433:VLI917436 VBK917433:VBM917436 URO917433:URQ917436 UHS917433:UHU917436 TXW917433:TXY917436 TOA917433:TOC917436 TEE917433:TEG917436 SUI917433:SUK917436 SKM917433:SKO917436 SAQ917433:SAS917436 RQU917433:RQW917436 RGY917433:RHA917436 QXC917433:QXE917436 QNG917433:QNI917436 QDK917433:QDM917436 PTO917433:PTQ917436 PJS917433:PJU917436 OZW917433:OZY917436 OQA917433:OQC917436 OGE917433:OGG917436 NWI917433:NWK917436 NMM917433:NMO917436 NCQ917433:NCS917436 MSU917433:MSW917436 MIY917433:MJA917436 LZC917433:LZE917436 LPG917433:LPI917436 LFK917433:LFM917436 KVO917433:KVQ917436 KLS917433:KLU917436 KBW917433:KBY917436 JSA917433:JSC917436 JIE917433:JIG917436 IYI917433:IYK917436 IOM917433:IOO917436 IEQ917433:IES917436 HUU917433:HUW917436 HKY917433:HLA917436 HBC917433:HBE917436 GRG917433:GRI917436 GHK917433:GHM917436 FXO917433:FXQ917436 FNS917433:FNU917436 FDW917433:FDY917436 EUA917433:EUC917436 EKE917433:EKG917436 EAI917433:EAK917436 DQM917433:DQO917436 DGQ917433:DGS917436 CWU917433:CWW917436 CMY917433:CNA917436 CDC917433:CDE917436 BTG917433:BTI917436 BJK917433:BJM917436 AZO917433:AZQ917436 APS917433:APU917436 AFW917433:AFY917436 WA917433:WC917436 ME917433:MG917436 CO917433:CO917436 WYQ851897:WYS851900 WOU851897:WOW851900 WEY851897:WFA851900 VVC851897:VVE851900 VLG851897:VLI851900 VBK851897:VBM851900 URO851897:URQ851900 UHS851897:UHU851900 TXW851897:TXY851900 TOA851897:TOC851900 TEE851897:TEG851900 SUI851897:SUK851900 SKM851897:SKO851900 SAQ851897:SAS851900 RQU851897:RQW851900 RGY851897:RHA851900 QXC851897:QXE851900 QNG851897:QNI851900 QDK851897:QDM851900 PTO851897:PTQ851900 PJS851897:PJU851900 OZW851897:OZY851900 OQA851897:OQC851900 OGE851897:OGG851900 NWI851897:NWK851900 NMM851897:NMO851900 NCQ851897:NCS851900 MSU851897:MSW851900 MIY851897:MJA851900 LZC851897:LZE851900 LPG851897:LPI851900 LFK851897:LFM851900 KVO851897:KVQ851900 KLS851897:KLU851900 KBW851897:KBY851900 JSA851897:JSC851900 JIE851897:JIG851900 IYI851897:IYK851900 IOM851897:IOO851900 IEQ851897:IES851900 HUU851897:HUW851900 HKY851897:HLA851900 HBC851897:HBE851900 GRG851897:GRI851900 GHK851897:GHM851900 FXO851897:FXQ851900 FNS851897:FNU851900 FDW851897:FDY851900 EUA851897:EUC851900 EKE851897:EKG851900 EAI851897:EAK851900 DQM851897:DQO851900 DGQ851897:DGS851900 CWU851897:CWW851900 CMY851897:CNA851900 CDC851897:CDE851900 BTG851897:BTI851900 BJK851897:BJM851900 AZO851897:AZQ851900 APS851897:APU851900 AFW851897:AFY851900 WA851897:WC851900 ME851897:MG851900 CO851897:CO851900 WYQ786361:WYS786364 WOU786361:WOW786364 WEY786361:WFA786364 VVC786361:VVE786364 VLG786361:VLI786364 VBK786361:VBM786364 URO786361:URQ786364 UHS786361:UHU786364 TXW786361:TXY786364 TOA786361:TOC786364 TEE786361:TEG786364 SUI786361:SUK786364 SKM786361:SKO786364 SAQ786361:SAS786364 RQU786361:RQW786364 RGY786361:RHA786364 QXC786361:QXE786364 QNG786361:QNI786364 QDK786361:QDM786364 PTO786361:PTQ786364 PJS786361:PJU786364 OZW786361:OZY786364 OQA786361:OQC786364 OGE786361:OGG786364 NWI786361:NWK786364 NMM786361:NMO786364 NCQ786361:NCS786364 MSU786361:MSW786364 MIY786361:MJA786364 LZC786361:LZE786364 LPG786361:LPI786364 LFK786361:LFM786364 KVO786361:KVQ786364 KLS786361:KLU786364 KBW786361:KBY786364 JSA786361:JSC786364 JIE786361:JIG786364 IYI786361:IYK786364 IOM786361:IOO786364 IEQ786361:IES786364 HUU786361:HUW786364 HKY786361:HLA786364 HBC786361:HBE786364 GRG786361:GRI786364 GHK786361:GHM786364 FXO786361:FXQ786364 FNS786361:FNU786364 FDW786361:FDY786364 EUA786361:EUC786364 EKE786361:EKG786364 EAI786361:EAK786364 DQM786361:DQO786364 DGQ786361:DGS786364 CWU786361:CWW786364 CMY786361:CNA786364 CDC786361:CDE786364 BTG786361:BTI786364 BJK786361:BJM786364 AZO786361:AZQ786364 APS786361:APU786364 AFW786361:AFY786364 WA786361:WC786364 ME786361:MG786364 CO786361:CO786364 WYQ720825:WYS720828 WOU720825:WOW720828 WEY720825:WFA720828 VVC720825:VVE720828 VLG720825:VLI720828 VBK720825:VBM720828 URO720825:URQ720828 UHS720825:UHU720828 TXW720825:TXY720828 TOA720825:TOC720828 TEE720825:TEG720828 SUI720825:SUK720828 SKM720825:SKO720828 SAQ720825:SAS720828 RQU720825:RQW720828 RGY720825:RHA720828 QXC720825:QXE720828 QNG720825:QNI720828 QDK720825:QDM720828 PTO720825:PTQ720828 PJS720825:PJU720828 OZW720825:OZY720828 OQA720825:OQC720828 OGE720825:OGG720828 NWI720825:NWK720828 NMM720825:NMO720828 NCQ720825:NCS720828 MSU720825:MSW720828 MIY720825:MJA720828 LZC720825:LZE720828 LPG720825:LPI720828 LFK720825:LFM720828 KVO720825:KVQ720828 KLS720825:KLU720828 KBW720825:KBY720828 JSA720825:JSC720828 JIE720825:JIG720828 IYI720825:IYK720828 IOM720825:IOO720828 IEQ720825:IES720828 HUU720825:HUW720828 HKY720825:HLA720828 HBC720825:HBE720828 GRG720825:GRI720828 GHK720825:GHM720828 FXO720825:FXQ720828 FNS720825:FNU720828 FDW720825:FDY720828 EUA720825:EUC720828 EKE720825:EKG720828 EAI720825:EAK720828 DQM720825:DQO720828 DGQ720825:DGS720828 CWU720825:CWW720828 CMY720825:CNA720828 CDC720825:CDE720828 BTG720825:BTI720828 BJK720825:BJM720828 AZO720825:AZQ720828 APS720825:APU720828 AFW720825:AFY720828 WA720825:WC720828 ME720825:MG720828 CO720825:CO720828 WYQ655289:WYS655292 WOU655289:WOW655292 WEY655289:WFA655292 VVC655289:VVE655292 VLG655289:VLI655292 VBK655289:VBM655292 URO655289:URQ655292 UHS655289:UHU655292 TXW655289:TXY655292 TOA655289:TOC655292 TEE655289:TEG655292 SUI655289:SUK655292 SKM655289:SKO655292 SAQ655289:SAS655292 RQU655289:RQW655292 RGY655289:RHA655292 QXC655289:QXE655292 QNG655289:QNI655292 QDK655289:QDM655292 PTO655289:PTQ655292 PJS655289:PJU655292 OZW655289:OZY655292 OQA655289:OQC655292 OGE655289:OGG655292 NWI655289:NWK655292 NMM655289:NMO655292 NCQ655289:NCS655292 MSU655289:MSW655292 MIY655289:MJA655292 LZC655289:LZE655292 LPG655289:LPI655292 LFK655289:LFM655292 KVO655289:KVQ655292 KLS655289:KLU655292 KBW655289:KBY655292 JSA655289:JSC655292 JIE655289:JIG655292 IYI655289:IYK655292 IOM655289:IOO655292 IEQ655289:IES655292 HUU655289:HUW655292 HKY655289:HLA655292 HBC655289:HBE655292 GRG655289:GRI655292 GHK655289:GHM655292 FXO655289:FXQ655292 FNS655289:FNU655292 FDW655289:FDY655292 EUA655289:EUC655292 EKE655289:EKG655292 EAI655289:EAK655292 DQM655289:DQO655292 DGQ655289:DGS655292 CWU655289:CWW655292 CMY655289:CNA655292 CDC655289:CDE655292 BTG655289:BTI655292 BJK655289:BJM655292 AZO655289:AZQ655292 APS655289:APU655292 AFW655289:AFY655292 WA655289:WC655292 ME655289:MG655292 CO655289:CO655292 WYQ589753:WYS589756 WOU589753:WOW589756 WEY589753:WFA589756 VVC589753:VVE589756 VLG589753:VLI589756 VBK589753:VBM589756 URO589753:URQ589756 UHS589753:UHU589756 TXW589753:TXY589756 TOA589753:TOC589756 TEE589753:TEG589756 SUI589753:SUK589756 SKM589753:SKO589756 SAQ589753:SAS589756 RQU589753:RQW589756 RGY589753:RHA589756 QXC589753:QXE589756 QNG589753:QNI589756 QDK589753:QDM589756 PTO589753:PTQ589756 PJS589753:PJU589756 OZW589753:OZY589756 OQA589753:OQC589756 OGE589753:OGG589756 NWI589753:NWK589756 NMM589753:NMO589756 NCQ589753:NCS589756 MSU589753:MSW589756 MIY589753:MJA589756 LZC589753:LZE589756 LPG589753:LPI589756 LFK589753:LFM589756 KVO589753:KVQ589756 KLS589753:KLU589756 KBW589753:KBY589756 JSA589753:JSC589756 JIE589753:JIG589756 IYI589753:IYK589756 IOM589753:IOO589756 IEQ589753:IES589756 HUU589753:HUW589756 HKY589753:HLA589756 HBC589753:HBE589756 GRG589753:GRI589756 GHK589753:GHM589756 FXO589753:FXQ589756 FNS589753:FNU589756 FDW589753:FDY589756 EUA589753:EUC589756 EKE589753:EKG589756 EAI589753:EAK589756 DQM589753:DQO589756 DGQ589753:DGS589756 CWU589753:CWW589756 CMY589753:CNA589756 CDC589753:CDE589756 BTG589753:BTI589756 BJK589753:BJM589756 AZO589753:AZQ589756 APS589753:APU589756 AFW589753:AFY589756 WA589753:WC589756 ME589753:MG589756 CO589753:CO589756 WYQ524217:WYS524220 WOU524217:WOW524220 WEY524217:WFA524220 VVC524217:VVE524220 VLG524217:VLI524220 VBK524217:VBM524220 URO524217:URQ524220 UHS524217:UHU524220 TXW524217:TXY524220 TOA524217:TOC524220 TEE524217:TEG524220 SUI524217:SUK524220 SKM524217:SKO524220 SAQ524217:SAS524220 RQU524217:RQW524220 RGY524217:RHA524220 QXC524217:QXE524220 QNG524217:QNI524220 QDK524217:QDM524220 PTO524217:PTQ524220 PJS524217:PJU524220 OZW524217:OZY524220 OQA524217:OQC524220 OGE524217:OGG524220 NWI524217:NWK524220 NMM524217:NMO524220 NCQ524217:NCS524220 MSU524217:MSW524220 MIY524217:MJA524220 LZC524217:LZE524220 LPG524217:LPI524220 LFK524217:LFM524220 KVO524217:KVQ524220 KLS524217:KLU524220 KBW524217:KBY524220 JSA524217:JSC524220 JIE524217:JIG524220 IYI524217:IYK524220 IOM524217:IOO524220 IEQ524217:IES524220 HUU524217:HUW524220 HKY524217:HLA524220 HBC524217:HBE524220 GRG524217:GRI524220 GHK524217:GHM524220 FXO524217:FXQ524220 FNS524217:FNU524220 FDW524217:FDY524220 EUA524217:EUC524220 EKE524217:EKG524220 EAI524217:EAK524220 DQM524217:DQO524220 DGQ524217:DGS524220 CWU524217:CWW524220 CMY524217:CNA524220 CDC524217:CDE524220 BTG524217:BTI524220 BJK524217:BJM524220 AZO524217:AZQ524220 APS524217:APU524220 AFW524217:AFY524220 WA524217:WC524220 ME524217:MG524220 CO524217:CO524220 WYQ458681:WYS458684 WOU458681:WOW458684 WEY458681:WFA458684 VVC458681:VVE458684 VLG458681:VLI458684 VBK458681:VBM458684 URO458681:URQ458684 UHS458681:UHU458684 TXW458681:TXY458684 TOA458681:TOC458684 TEE458681:TEG458684 SUI458681:SUK458684 SKM458681:SKO458684 SAQ458681:SAS458684 RQU458681:RQW458684 RGY458681:RHA458684 QXC458681:QXE458684 QNG458681:QNI458684 QDK458681:QDM458684 PTO458681:PTQ458684 PJS458681:PJU458684 OZW458681:OZY458684 OQA458681:OQC458684 OGE458681:OGG458684 NWI458681:NWK458684 NMM458681:NMO458684 NCQ458681:NCS458684 MSU458681:MSW458684 MIY458681:MJA458684 LZC458681:LZE458684 LPG458681:LPI458684 LFK458681:LFM458684 KVO458681:KVQ458684 KLS458681:KLU458684 KBW458681:KBY458684 JSA458681:JSC458684 JIE458681:JIG458684 IYI458681:IYK458684 IOM458681:IOO458684 IEQ458681:IES458684 HUU458681:HUW458684 HKY458681:HLA458684 HBC458681:HBE458684 GRG458681:GRI458684 GHK458681:GHM458684 FXO458681:FXQ458684 FNS458681:FNU458684 FDW458681:FDY458684 EUA458681:EUC458684 EKE458681:EKG458684 EAI458681:EAK458684 DQM458681:DQO458684 DGQ458681:DGS458684 CWU458681:CWW458684 CMY458681:CNA458684 CDC458681:CDE458684 BTG458681:BTI458684 BJK458681:BJM458684 AZO458681:AZQ458684 APS458681:APU458684 AFW458681:AFY458684 WA458681:WC458684 ME458681:MG458684 CO458681:CO458684 WYQ393145:WYS393148 WOU393145:WOW393148 WEY393145:WFA393148 VVC393145:VVE393148 VLG393145:VLI393148 VBK393145:VBM393148 URO393145:URQ393148 UHS393145:UHU393148 TXW393145:TXY393148 TOA393145:TOC393148 TEE393145:TEG393148 SUI393145:SUK393148 SKM393145:SKO393148 SAQ393145:SAS393148 RQU393145:RQW393148 RGY393145:RHA393148 QXC393145:QXE393148 QNG393145:QNI393148 QDK393145:QDM393148 PTO393145:PTQ393148 PJS393145:PJU393148 OZW393145:OZY393148 OQA393145:OQC393148 OGE393145:OGG393148 NWI393145:NWK393148 NMM393145:NMO393148 NCQ393145:NCS393148 MSU393145:MSW393148 MIY393145:MJA393148 LZC393145:LZE393148 LPG393145:LPI393148 LFK393145:LFM393148 KVO393145:KVQ393148 KLS393145:KLU393148 KBW393145:KBY393148 JSA393145:JSC393148 JIE393145:JIG393148 IYI393145:IYK393148 IOM393145:IOO393148 IEQ393145:IES393148 HUU393145:HUW393148 HKY393145:HLA393148 HBC393145:HBE393148 GRG393145:GRI393148 GHK393145:GHM393148 FXO393145:FXQ393148 FNS393145:FNU393148 FDW393145:FDY393148 EUA393145:EUC393148 EKE393145:EKG393148 EAI393145:EAK393148 DQM393145:DQO393148 DGQ393145:DGS393148 CWU393145:CWW393148 CMY393145:CNA393148 CDC393145:CDE393148 BTG393145:BTI393148 BJK393145:BJM393148 AZO393145:AZQ393148 APS393145:APU393148 AFW393145:AFY393148 WA393145:WC393148 ME393145:MG393148 CO393145:CO393148 WYQ327609:WYS327612 WOU327609:WOW327612 WEY327609:WFA327612 VVC327609:VVE327612 VLG327609:VLI327612 VBK327609:VBM327612 URO327609:URQ327612 UHS327609:UHU327612 TXW327609:TXY327612 TOA327609:TOC327612 TEE327609:TEG327612 SUI327609:SUK327612 SKM327609:SKO327612 SAQ327609:SAS327612 RQU327609:RQW327612 RGY327609:RHA327612 QXC327609:QXE327612 QNG327609:QNI327612 QDK327609:QDM327612 PTO327609:PTQ327612 PJS327609:PJU327612 OZW327609:OZY327612 OQA327609:OQC327612 OGE327609:OGG327612 NWI327609:NWK327612 NMM327609:NMO327612 NCQ327609:NCS327612 MSU327609:MSW327612 MIY327609:MJA327612 LZC327609:LZE327612 LPG327609:LPI327612 LFK327609:LFM327612 KVO327609:KVQ327612 KLS327609:KLU327612 KBW327609:KBY327612 JSA327609:JSC327612 JIE327609:JIG327612 IYI327609:IYK327612 IOM327609:IOO327612 IEQ327609:IES327612 HUU327609:HUW327612 HKY327609:HLA327612 HBC327609:HBE327612 GRG327609:GRI327612 GHK327609:GHM327612 FXO327609:FXQ327612 FNS327609:FNU327612 FDW327609:FDY327612 EUA327609:EUC327612 EKE327609:EKG327612 EAI327609:EAK327612 DQM327609:DQO327612 DGQ327609:DGS327612 CWU327609:CWW327612 CMY327609:CNA327612 CDC327609:CDE327612 BTG327609:BTI327612 BJK327609:BJM327612 AZO327609:AZQ327612 APS327609:APU327612 AFW327609:AFY327612 WA327609:WC327612 ME327609:MG327612 CO327609:CO327612 WYQ262073:WYS262076 WOU262073:WOW262076 WEY262073:WFA262076 VVC262073:VVE262076 VLG262073:VLI262076 VBK262073:VBM262076 URO262073:URQ262076 UHS262073:UHU262076 TXW262073:TXY262076 TOA262073:TOC262076 TEE262073:TEG262076 SUI262073:SUK262076 SKM262073:SKO262076 SAQ262073:SAS262076 RQU262073:RQW262076 RGY262073:RHA262076 QXC262073:QXE262076 QNG262073:QNI262076 QDK262073:QDM262076 PTO262073:PTQ262076 PJS262073:PJU262076 OZW262073:OZY262076 OQA262073:OQC262076 OGE262073:OGG262076 NWI262073:NWK262076 NMM262073:NMO262076 NCQ262073:NCS262076 MSU262073:MSW262076 MIY262073:MJA262076 LZC262073:LZE262076 LPG262073:LPI262076 LFK262073:LFM262076 KVO262073:KVQ262076 KLS262073:KLU262076 KBW262073:KBY262076 JSA262073:JSC262076 JIE262073:JIG262076 IYI262073:IYK262076 IOM262073:IOO262076 IEQ262073:IES262076 HUU262073:HUW262076 HKY262073:HLA262076 HBC262073:HBE262076 GRG262073:GRI262076 GHK262073:GHM262076 FXO262073:FXQ262076 FNS262073:FNU262076 FDW262073:FDY262076 EUA262073:EUC262076 EKE262073:EKG262076 EAI262073:EAK262076 DQM262073:DQO262076 DGQ262073:DGS262076 CWU262073:CWW262076 CMY262073:CNA262076 CDC262073:CDE262076 BTG262073:BTI262076 BJK262073:BJM262076 AZO262073:AZQ262076 APS262073:APU262076 AFW262073:AFY262076 WA262073:WC262076 ME262073:MG262076 CO262073:CO262076 WYQ196537:WYS196540 WOU196537:WOW196540 WEY196537:WFA196540 VVC196537:VVE196540 VLG196537:VLI196540 VBK196537:VBM196540 URO196537:URQ196540 UHS196537:UHU196540 TXW196537:TXY196540 TOA196537:TOC196540 TEE196537:TEG196540 SUI196537:SUK196540 SKM196537:SKO196540 SAQ196537:SAS196540 RQU196537:RQW196540 RGY196537:RHA196540 QXC196537:QXE196540 QNG196537:QNI196540 QDK196537:QDM196540 PTO196537:PTQ196540 PJS196537:PJU196540 OZW196537:OZY196540 OQA196537:OQC196540 OGE196537:OGG196540 NWI196537:NWK196540 NMM196537:NMO196540 NCQ196537:NCS196540 MSU196537:MSW196540 MIY196537:MJA196540 LZC196537:LZE196540 LPG196537:LPI196540 LFK196537:LFM196540 KVO196537:KVQ196540 KLS196537:KLU196540 KBW196537:KBY196540 JSA196537:JSC196540 JIE196537:JIG196540 IYI196537:IYK196540 IOM196537:IOO196540 IEQ196537:IES196540 HUU196537:HUW196540 HKY196537:HLA196540 HBC196537:HBE196540 GRG196537:GRI196540 GHK196537:GHM196540 FXO196537:FXQ196540 FNS196537:FNU196540 FDW196537:FDY196540 EUA196537:EUC196540 EKE196537:EKG196540 EAI196537:EAK196540 DQM196537:DQO196540 DGQ196537:DGS196540 CWU196537:CWW196540 CMY196537:CNA196540 CDC196537:CDE196540 BTG196537:BTI196540 BJK196537:BJM196540 AZO196537:AZQ196540 APS196537:APU196540 AFW196537:AFY196540 WA196537:WC196540 ME196537:MG196540 CO196537:CO196540 WYQ131001:WYS131004 WOU131001:WOW131004 WEY131001:WFA131004 VVC131001:VVE131004 VLG131001:VLI131004 VBK131001:VBM131004 URO131001:URQ131004 UHS131001:UHU131004 TXW131001:TXY131004 TOA131001:TOC131004 TEE131001:TEG131004 SUI131001:SUK131004 SKM131001:SKO131004 SAQ131001:SAS131004 RQU131001:RQW131004 RGY131001:RHA131004 QXC131001:QXE131004 QNG131001:QNI131004 QDK131001:QDM131004 PTO131001:PTQ131004 PJS131001:PJU131004 OZW131001:OZY131004 OQA131001:OQC131004 OGE131001:OGG131004 NWI131001:NWK131004 NMM131001:NMO131004 NCQ131001:NCS131004 MSU131001:MSW131004 MIY131001:MJA131004 LZC131001:LZE131004 LPG131001:LPI131004 LFK131001:LFM131004 KVO131001:KVQ131004 KLS131001:KLU131004 KBW131001:KBY131004 JSA131001:JSC131004 JIE131001:JIG131004 IYI131001:IYK131004 IOM131001:IOO131004 IEQ131001:IES131004 HUU131001:HUW131004 HKY131001:HLA131004 HBC131001:HBE131004 GRG131001:GRI131004 GHK131001:GHM131004 FXO131001:FXQ131004 FNS131001:FNU131004 FDW131001:FDY131004 EUA131001:EUC131004 EKE131001:EKG131004 EAI131001:EAK131004 DQM131001:DQO131004 DGQ131001:DGS131004 CWU131001:CWW131004 CMY131001:CNA131004 CDC131001:CDE131004 BTG131001:BTI131004 BJK131001:BJM131004 AZO131001:AZQ131004 APS131001:APU131004 AFW131001:AFY131004 WA131001:WC131004 ME131001:MG131004 CO131001:CO131004 WYQ65465:WYS65468 WOU65465:WOW65468 WEY65465:WFA65468 VVC65465:VVE65468 VLG65465:VLI65468 VBK65465:VBM65468 URO65465:URQ65468 UHS65465:UHU65468 TXW65465:TXY65468 TOA65465:TOC65468 TEE65465:TEG65468 SUI65465:SUK65468 SKM65465:SKO65468 SAQ65465:SAS65468 RQU65465:RQW65468 RGY65465:RHA65468 QXC65465:QXE65468 QNG65465:QNI65468 QDK65465:QDM65468 PTO65465:PTQ65468 PJS65465:PJU65468 OZW65465:OZY65468 OQA65465:OQC65468 OGE65465:OGG65468 NWI65465:NWK65468 NMM65465:NMO65468 NCQ65465:NCS65468 MSU65465:MSW65468 MIY65465:MJA65468 LZC65465:LZE65468 LPG65465:LPI65468 LFK65465:LFM65468 KVO65465:KVQ65468 KLS65465:KLU65468 KBW65465:KBY65468 JSA65465:JSC65468 JIE65465:JIG65468 IYI65465:IYK65468 IOM65465:IOO65468 IEQ65465:IES65468 HUU65465:HUW65468 HKY65465:HLA65468 HBC65465:HBE65468 GRG65465:GRI65468 GHK65465:GHM65468 FXO65465:FXQ65468 FNS65465:FNU65468 FDW65465:FDY65468 EUA65465:EUC65468 EKE65465:EKG65468 EAI65465:EAK65468 DQM65465:DQO65468 DGQ65465:DGS65468 CWU65465:CWW65468 CMY65465:CNA65468 CDC65465:CDE65468 BTG65465:BTI65468 BJK65465:BJM65468 AZO65465:AZQ65468 APS65465:APU65468 AFW65465:AFY65468 WA65465:WC65468 ME65465:MG65468 CO65465:CO65468">
      <formula1>$G$58:$G$62</formula1>
    </dataValidation>
    <dataValidation type="custom" allowBlank="1" showInputMessage="1" showErrorMessage="1" error="The value is less than the current coverage." sqref="BW170:BW173">
      <formula1>BW170&gt;=BU170</formula1>
    </dataValidation>
  </dataValidations>
  <pageMargins left="0.4" right="0.4" top="0.75" bottom="0.75" header="0.3" footer="0.3"/>
  <pageSetup paperSize="9" scale="80" fitToHeight="0" orientation="landscape"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[1]List!#REF!</xm:f>
          </x14:formula1>
          <xm:sqref>AA174</xm:sqref>
        </x14:dataValidation>
        <x14:dataValidation type="list" allowBlank="1" showInputMessage="1" showErrorMessage="1">
          <x14:formula1>
            <xm:f>List!$L$2:$L$5</xm:f>
          </x14:formula1>
          <xm:sqref>V5:V189</xm:sqref>
        </x14:dataValidation>
        <x14:dataValidation type="list" allowBlank="1" showInputMessage="1" showErrorMessage="1">
          <x14:formula1>
            <xm:f>List!$H$2:$H$5</xm:f>
          </x14:formula1>
          <xm:sqref>BB5:BB189</xm:sqref>
        </x14:dataValidation>
        <x14:dataValidation type="list" allowBlank="1" showInputMessage="1" showErrorMessage="1">
          <x14:formula1>
            <xm:f>List!$E$2:$E$5</xm:f>
          </x14:formula1>
          <xm:sqref>CO5:CO189</xm:sqref>
        </x14:dataValidation>
        <x14:dataValidation type="list" allowBlank="1" showInputMessage="1" showErrorMessage="1">
          <x14:formula1>
            <xm:f>List!$N$2:$N$11</xm:f>
          </x14:formula1>
          <xm:sqref>D5:D189</xm:sqref>
        </x14:dataValidation>
        <x14:dataValidation type="list" allowBlank="1" showInputMessage="1" showErrorMessage="1">
          <x14:formula1>
            <xm:f>List!$B$8:$B$10</xm:f>
          </x14:formula1>
          <xm:sqref>H5:H189</xm:sqref>
        </x14:dataValidation>
        <x14:dataValidation type="list" allowBlank="1" showInputMessage="1" showErrorMessage="1">
          <x14:formula1>
            <xm:f>List!$B$13:$B$14</xm:f>
          </x14:formula1>
          <xm:sqref>I5:I189</xm:sqref>
        </x14:dataValidation>
        <x14:dataValidation type="list" allowBlank="1" showInputMessage="1" showErrorMessage="1">
          <x14:formula1>
            <xm:f>List!$B$20:$B$26</xm:f>
          </x14:formula1>
          <xm:sqref>K5:K189</xm:sqref>
        </x14:dataValidation>
        <x14:dataValidation type="list" allowBlank="1" showInputMessage="1" showErrorMessage="1">
          <x14:formula1>
            <xm:f>List!$B$3:$B$4</xm:f>
          </x14:formula1>
          <xm:sqref>Z5:Z176</xm:sqref>
        </x14:dataValidation>
        <x14:dataValidation type="list" allowBlank="1" showInputMessage="1" showErrorMessage="1">
          <x14:formula1>
            <xm:f>List!$H$20:$H$22</xm:f>
          </x14:formula1>
          <xm:sqref>J5:J189</xm:sqref>
        </x14:dataValidation>
        <x14:dataValidation type="list" allowBlank="1" showInputMessage="1" showErrorMessage="1">
          <x14:formula1>
            <xm:f>List!$B$30:$B$37</xm:f>
          </x14:formula1>
          <xm:sqref>BZ5:BZ189</xm:sqref>
        </x14:dataValidation>
        <x14:dataValidation type="list" allowBlank="1" showInputMessage="1" showErrorMessage="1">
          <x14:formula1>
            <xm:f>List!$H$9:$H$12</xm:f>
          </x14:formula1>
          <xm:sqref>BN5:BN189</xm:sqref>
        </x14:dataValidation>
        <x14:dataValidation type="list" allowBlank="1" showInputMessage="1" showErrorMessage="1">
          <x14:formula1>
            <xm:f>List!$L$19:$L$22</xm:f>
          </x14:formula1>
          <xm:sqref>BA5:BA189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I368"/>
  <sheetViews>
    <sheetView zoomScale="70" zoomScaleNormal="70" workbookViewId="0">
      <pane xSplit="6" ySplit="4" topLeftCell="G5" activePane="bottomRight" state="frozen"/>
      <selection activeCell="A97" sqref="A97"/>
      <selection pane="topRight" activeCell="A97" sqref="A97"/>
      <selection pane="bottomLeft" activeCell="A97" sqref="A97"/>
      <selection pane="bottomRight" activeCell="C2" sqref="C2"/>
    </sheetView>
  </sheetViews>
  <sheetFormatPr defaultColWidth="10" defaultRowHeight="12.75" x14ac:dyDescent="0.2"/>
  <cols>
    <col min="1" max="1" width="4.42578125" style="237" customWidth="1"/>
    <col min="2" max="2" width="7.5703125" style="237" customWidth="1"/>
    <col min="3" max="3" width="20.85546875" style="244" customWidth="1"/>
    <col min="4" max="4" width="17.85546875" style="244" customWidth="1"/>
    <col min="5" max="6" width="13" style="244" customWidth="1"/>
    <col min="7" max="7" width="44.7109375" style="244" customWidth="1"/>
    <col min="8" max="8" width="12" style="244" customWidth="1"/>
    <col min="9" max="9" width="15.28515625" style="244" customWidth="1"/>
    <col min="10" max="12" width="11.140625" style="244" customWidth="1"/>
    <col min="13" max="17" width="11.140625" style="245" customWidth="1"/>
    <col min="18" max="18" width="11.140625" style="63" customWidth="1"/>
    <col min="19" max="19" width="11.140625" style="64" customWidth="1"/>
    <col min="20" max="25" width="13" style="244" customWidth="1"/>
    <col min="26" max="34" width="18.5703125" style="245" customWidth="1"/>
    <col min="35" max="35" width="58.7109375" style="244" customWidth="1"/>
    <col min="36" max="38" width="18.5703125" style="237" customWidth="1"/>
    <col min="39" max="16384" width="10" style="237"/>
  </cols>
  <sheetData>
    <row r="1" spans="3:35" s="65" customFormat="1" ht="34.5" customHeight="1" thickBot="1" x14ac:dyDescent="0.25">
      <c r="C1" s="315">
        <v>41640</v>
      </c>
      <c r="D1" s="315">
        <v>42004</v>
      </c>
      <c r="E1" s="315">
        <v>42369</v>
      </c>
      <c r="F1" s="61"/>
      <c r="G1" s="61"/>
      <c r="H1" s="61"/>
      <c r="I1" s="61"/>
      <c r="J1" s="61"/>
      <c r="K1" s="61"/>
      <c r="L1" s="61"/>
      <c r="M1" s="62"/>
      <c r="N1" s="62"/>
      <c r="O1" s="62"/>
      <c r="P1" s="62"/>
      <c r="Q1" s="62"/>
      <c r="R1" s="63"/>
      <c r="S1" s="64"/>
      <c r="T1" s="61"/>
      <c r="U1" s="61"/>
      <c r="V1" s="61"/>
      <c r="W1" s="61"/>
      <c r="X1" s="61"/>
      <c r="Y1" s="61"/>
      <c r="Z1" s="62"/>
      <c r="AA1" s="62"/>
      <c r="AB1" s="62"/>
      <c r="AC1" s="62"/>
      <c r="AD1" s="62"/>
      <c r="AE1" s="62"/>
      <c r="AF1" s="62"/>
      <c r="AG1" s="62"/>
      <c r="AH1" s="62"/>
      <c r="AI1" s="61"/>
    </row>
    <row r="2" spans="3:35" s="65" customFormat="1" ht="30" customHeight="1" thickBot="1" x14ac:dyDescent="0.25">
      <c r="C2" s="66" t="s">
        <v>355</v>
      </c>
      <c r="D2" s="67">
        <v>42004</v>
      </c>
      <c r="E2" s="68"/>
      <c r="F2" s="69"/>
      <c r="G2" s="945" t="s">
        <v>356</v>
      </c>
      <c r="H2" s="946"/>
      <c r="I2" s="946"/>
      <c r="J2" s="946"/>
      <c r="K2" s="947"/>
      <c r="L2" s="948" t="s">
        <v>357</v>
      </c>
      <c r="M2" s="949"/>
      <c r="N2" s="949"/>
      <c r="O2" s="949"/>
      <c r="P2" s="949"/>
      <c r="Q2" s="949"/>
      <c r="R2" s="949"/>
      <c r="S2" s="949"/>
      <c r="T2" s="950"/>
      <c r="U2" s="950"/>
      <c r="V2" s="950"/>
      <c r="W2" s="949"/>
      <c r="X2" s="949"/>
      <c r="Y2" s="951"/>
      <c r="Z2" s="62"/>
      <c r="AA2" s="62"/>
      <c r="AB2" s="62"/>
      <c r="AC2" s="62"/>
      <c r="AD2" s="62"/>
      <c r="AE2" s="62"/>
      <c r="AF2" s="62"/>
      <c r="AG2" s="62"/>
      <c r="AH2" s="62"/>
      <c r="AI2" s="61"/>
    </row>
    <row r="3" spans="3:35" s="71" customFormat="1" ht="40.15" customHeight="1" thickBot="1" x14ac:dyDescent="0.3">
      <c r="C3" s="948" t="s">
        <v>358</v>
      </c>
      <c r="D3" s="949"/>
      <c r="E3" s="949"/>
      <c r="F3" s="949"/>
      <c r="G3" s="951"/>
      <c r="H3" s="948" t="s">
        <v>359</v>
      </c>
      <c r="I3" s="949"/>
      <c r="J3" s="949"/>
      <c r="K3" s="951"/>
      <c r="L3" s="948" t="s">
        <v>360</v>
      </c>
      <c r="M3" s="949"/>
      <c r="N3" s="949"/>
      <c r="O3" s="949"/>
      <c r="P3" s="949"/>
      <c r="Q3" s="949"/>
      <c r="R3" s="949"/>
      <c r="S3" s="949"/>
      <c r="T3" s="952" t="s">
        <v>361</v>
      </c>
      <c r="U3" s="953"/>
      <c r="V3" s="954"/>
      <c r="W3" s="955" t="s">
        <v>362</v>
      </c>
      <c r="X3" s="955"/>
      <c r="Y3" s="956"/>
      <c r="Z3" s="941" t="s">
        <v>363</v>
      </c>
      <c r="AA3" s="941"/>
      <c r="AB3" s="941"/>
      <c r="AC3" s="941"/>
      <c r="AD3" s="941"/>
      <c r="AE3" s="941"/>
      <c r="AF3" s="941"/>
      <c r="AG3" s="941"/>
      <c r="AH3" s="941"/>
      <c r="AI3" s="70" t="s">
        <v>15</v>
      </c>
    </row>
    <row r="4" spans="3:35" s="65" customFormat="1" ht="80.45" customHeight="1" x14ac:dyDescent="0.2">
      <c r="C4" s="72" t="s">
        <v>351</v>
      </c>
      <c r="D4" s="73" t="s">
        <v>364</v>
      </c>
      <c r="E4" s="73" t="s">
        <v>321</v>
      </c>
      <c r="F4" s="73" t="s">
        <v>365</v>
      </c>
      <c r="G4" s="74" t="s">
        <v>366</v>
      </c>
      <c r="H4" s="72" t="s">
        <v>367</v>
      </c>
      <c r="I4" s="73" t="s">
        <v>368</v>
      </c>
      <c r="J4" s="75" t="s">
        <v>369</v>
      </c>
      <c r="K4" s="74" t="s">
        <v>319</v>
      </c>
      <c r="L4" s="72" t="s">
        <v>370</v>
      </c>
      <c r="M4" s="76" t="s">
        <v>371</v>
      </c>
      <c r="N4" s="76" t="s">
        <v>372</v>
      </c>
      <c r="O4" s="76" t="s">
        <v>373</v>
      </c>
      <c r="P4" s="76" t="s">
        <v>374</v>
      </c>
      <c r="Q4" s="77" t="s">
        <v>375</v>
      </c>
      <c r="R4" s="78" t="s">
        <v>376</v>
      </c>
      <c r="S4" s="246" t="s">
        <v>377</v>
      </c>
      <c r="T4" s="79" t="s">
        <v>378</v>
      </c>
      <c r="U4" s="73" t="s">
        <v>379</v>
      </c>
      <c r="V4" s="80" t="s">
        <v>380</v>
      </c>
      <c r="W4" s="81" t="s">
        <v>378</v>
      </c>
      <c r="X4" s="73" t="s">
        <v>379</v>
      </c>
      <c r="Y4" s="75" t="s">
        <v>380</v>
      </c>
      <c r="Z4" s="82" t="s">
        <v>381</v>
      </c>
      <c r="AA4" s="83" t="s">
        <v>382</v>
      </c>
      <c r="AB4" s="83" t="s">
        <v>383</v>
      </c>
      <c r="AC4" s="83" t="s">
        <v>695</v>
      </c>
      <c r="AD4" s="83" t="s">
        <v>886</v>
      </c>
      <c r="AE4" s="84" t="s">
        <v>384</v>
      </c>
      <c r="AF4" s="84" t="s">
        <v>385</v>
      </c>
      <c r="AG4" s="84" t="s">
        <v>386</v>
      </c>
      <c r="AH4" s="85" t="s">
        <v>387</v>
      </c>
      <c r="AI4" s="86" t="s">
        <v>388</v>
      </c>
    </row>
    <row r="5" spans="3:35" s="65" customFormat="1" ht="40.15" customHeight="1" x14ac:dyDescent="0.2">
      <c r="C5" s="87" t="s">
        <v>283</v>
      </c>
      <c r="D5" s="88"/>
      <c r="E5" s="89" t="s">
        <v>253</v>
      </c>
      <c r="F5" s="88"/>
      <c r="G5" s="90" t="s">
        <v>389</v>
      </c>
      <c r="H5" s="91">
        <v>41232</v>
      </c>
      <c r="I5" s="92">
        <v>41351</v>
      </c>
      <c r="J5" s="93" t="s">
        <v>413</v>
      </c>
      <c r="K5" s="94">
        <f>YEAR(H5)</f>
        <v>2012</v>
      </c>
      <c r="L5" s="95">
        <v>2500</v>
      </c>
      <c r="M5" s="96"/>
      <c r="N5" s="96" t="str">
        <f>IF(M5="","",1-M5)</f>
        <v/>
      </c>
      <c r="O5" s="96"/>
      <c r="P5" s="96"/>
      <c r="Q5" s="97"/>
      <c r="R5" s="98">
        <v>1</v>
      </c>
      <c r="S5" s="131">
        <v>0</v>
      </c>
      <c r="T5" s="100">
        <v>2500</v>
      </c>
      <c r="U5" s="101">
        <v>2500</v>
      </c>
      <c r="V5" s="102">
        <v>2500</v>
      </c>
      <c r="W5" s="103">
        <v>0</v>
      </c>
      <c r="X5" s="101">
        <v>0</v>
      </c>
      <c r="Y5" s="93">
        <v>0</v>
      </c>
      <c r="Z5" s="104">
        <v>128026</v>
      </c>
      <c r="AA5" s="105">
        <f t="shared" ref="AA5:AA64" si="0">Z5-(AB5+AC5+AD5)</f>
        <v>128026</v>
      </c>
      <c r="AB5" s="105">
        <f t="shared" ref="AB5:AB64" si="1">IF(I5&lt;$C$1,0,IF(H5&gt;$C$1,Z5-(AC5+AD5),(I5-$C$1)/(I5-H5)*Z5-(AC5+AD5)))</f>
        <v>0</v>
      </c>
      <c r="AC5" s="105">
        <f t="shared" ref="AC5:AC64" si="2">IF(I5&lt;$D$1,0,IF(H5&gt;$D$1,Z5-AD5,(I5-$D$1)/(I5-H5)*Z5-AD5))</f>
        <v>0</v>
      </c>
      <c r="AD5" s="105">
        <f t="shared" ref="AD5:AD64" si="3">IF(I5&lt;$E$1,0,IF(H5&gt;$E$1,Z5,(I5-$E$1)/(I5-H5)*Z5))</f>
        <v>0</v>
      </c>
      <c r="AE5" s="106">
        <v>1</v>
      </c>
      <c r="AF5" s="106">
        <v>0.54</v>
      </c>
      <c r="AG5" s="106">
        <v>0.21</v>
      </c>
      <c r="AH5" s="107">
        <v>0.25</v>
      </c>
      <c r="AI5" s="108"/>
    </row>
    <row r="6" spans="3:35" s="65" customFormat="1" ht="40.15" customHeight="1" x14ac:dyDescent="0.2">
      <c r="C6" s="87" t="s">
        <v>283</v>
      </c>
      <c r="D6" s="88"/>
      <c r="E6" s="89" t="s">
        <v>322</v>
      </c>
      <c r="F6" s="88"/>
      <c r="G6" s="90" t="s">
        <v>390</v>
      </c>
      <c r="H6" s="109">
        <v>41280</v>
      </c>
      <c r="I6" s="110">
        <v>41820</v>
      </c>
      <c r="J6" s="93" t="s">
        <v>413</v>
      </c>
      <c r="K6" s="94">
        <f t="shared" ref="K6:K64" si="4">YEAR(H6)</f>
        <v>2013</v>
      </c>
      <c r="L6" s="95">
        <v>11700</v>
      </c>
      <c r="M6" s="96">
        <v>0.45</v>
      </c>
      <c r="N6" s="96">
        <f>IF(M6="","",1-M6)</f>
        <v>0.55000000000000004</v>
      </c>
      <c r="O6" s="96">
        <v>0</v>
      </c>
      <c r="P6" s="96">
        <v>1</v>
      </c>
      <c r="Q6" s="97">
        <v>0</v>
      </c>
      <c r="R6" s="111">
        <v>1</v>
      </c>
      <c r="S6" s="129">
        <v>0</v>
      </c>
      <c r="T6" s="100">
        <v>7594</v>
      </c>
      <c r="U6" s="101">
        <v>6040</v>
      </c>
      <c r="V6" s="102">
        <v>5850</v>
      </c>
      <c r="W6" s="103">
        <v>0</v>
      </c>
      <c r="X6" s="101">
        <v>0</v>
      </c>
      <c r="Y6" s="93">
        <v>0</v>
      </c>
      <c r="Z6" s="112">
        <v>530978</v>
      </c>
      <c r="AA6" s="113">
        <f t="shared" si="0"/>
        <v>353985.33333333337</v>
      </c>
      <c r="AB6" s="113">
        <f t="shared" si="1"/>
        <v>176992.66666666666</v>
      </c>
      <c r="AC6" s="113">
        <f t="shared" si="2"/>
        <v>0</v>
      </c>
      <c r="AD6" s="113">
        <f t="shared" si="3"/>
        <v>0</v>
      </c>
      <c r="AE6" s="96">
        <v>1</v>
      </c>
      <c r="AF6" s="96">
        <v>0.55500000000000005</v>
      </c>
      <c r="AG6" s="96">
        <v>0.26</v>
      </c>
      <c r="AH6" s="114">
        <v>0.18</v>
      </c>
      <c r="AI6" s="108"/>
    </row>
    <row r="7" spans="3:35" s="65" customFormat="1" ht="40.15" customHeight="1" x14ac:dyDescent="0.2">
      <c r="C7" s="87" t="s">
        <v>283</v>
      </c>
      <c r="D7" s="88"/>
      <c r="E7" s="89" t="s">
        <v>322</v>
      </c>
      <c r="F7" s="88"/>
      <c r="G7" s="90" t="s">
        <v>705</v>
      </c>
      <c r="H7" s="109">
        <v>41648</v>
      </c>
      <c r="I7" s="110">
        <v>42338</v>
      </c>
      <c r="J7" s="93" t="s">
        <v>231</v>
      </c>
      <c r="K7" s="94">
        <f t="shared" si="4"/>
        <v>2014</v>
      </c>
      <c r="L7" s="95">
        <v>4802</v>
      </c>
      <c r="M7" s="96"/>
      <c r="N7" s="96">
        <v>1</v>
      </c>
      <c r="O7" s="96"/>
      <c r="P7" s="96">
        <v>1</v>
      </c>
      <c r="Q7" s="97"/>
      <c r="R7" s="111">
        <v>0.62</v>
      </c>
      <c r="S7" s="129">
        <v>0.38</v>
      </c>
      <c r="T7" s="100">
        <v>4039</v>
      </c>
      <c r="U7" s="101">
        <v>4039</v>
      </c>
      <c r="V7" s="102">
        <v>2028</v>
      </c>
      <c r="W7" s="103"/>
      <c r="X7" s="101"/>
      <c r="Y7" s="93">
        <v>2483</v>
      </c>
      <c r="Z7" s="112">
        <v>354600</v>
      </c>
      <c r="AA7" s="113">
        <f t="shared" si="0"/>
        <v>0</v>
      </c>
      <c r="AB7" s="113">
        <f t="shared" si="1"/>
        <v>182953.04347826086</v>
      </c>
      <c r="AC7" s="113">
        <f t="shared" si="2"/>
        <v>171646.95652173914</v>
      </c>
      <c r="AD7" s="113">
        <f t="shared" si="3"/>
        <v>0</v>
      </c>
      <c r="AE7" s="96">
        <v>1</v>
      </c>
      <c r="AF7" s="96">
        <v>0.33</v>
      </c>
      <c r="AG7" s="96">
        <v>0.34</v>
      </c>
      <c r="AH7" s="114">
        <v>0.34</v>
      </c>
      <c r="AI7" s="108"/>
    </row>
    <row r="8" spans="3:35" s="65" customFormat="1" ht="40.15" customHeight="1" x14ac:dyDescent="0.2">
      <c r="C8" s="87" t="s">
        <v>750</v>
      </c>
      <c r="D8" s="88" t="s">
        <v>234</v>
      </c>
      <c r="E8" s="89" t="s">
        <v>330</v>
      </c>
      <c r="F8" s="88"/>
      <c r="G8" s="90" t="s">
        <v>751</v>
      </c>
      <c r="H8" s="135">
        <v>42156</v>
      </c>
      <c r="I8" s="136">
        <v>42428</v>
      </c>
      <c r="J8" s="93" t="s">
        <v>231</v>
      </c>
      <c r="K8" s="94">
        <f t="shared" si="4"/>
        <v>2015</v>
      </c>
      <c r="L8" s="95">
        <v>17480</v>
      </c>
      <c r="M8" s="106">
        <v>0.51</v>
      </c>
      <c r="N8" s="106">
        <v>0.49</v>
      </c>
      <c r="O8" s="106">
        <v>0</v>
      </c>
      <c r="P8" s="106">
        <v>0</v>
      </c>
      <c r="Q8" s="99">
        <v>1</v>
      </c>
      <c r="R8" s="98">
        <v>1</v>
      </c>
      <c r="S8" s="131">
        <v>0</v>
      </c>
      <c r="T8" s="100">
        <v>17480</v>
      </c>
      <c r="U8" s="101">
        <v>8404</v>
      </c>
      <c r="V8" s="102">
        <v>17480</v>
      </c>
      <c r="W8" s="134">
        <v>0</v>
      </c>
      <c r="X8" s="101">
        <v>0</v>
      </c>
      <c r="Y8" s="93">
        <v>0</v>
      </c>
      <c r="Z8" s="104">
        <v>122295</v>
      </c>
      <c r="AA8" s="105">
        <f t="shared" si="0"/>
        <v>0</v>
      </c>
      <c r="AB8" s="105">
        <f t="shared" si="1"/>
        <v>0</v>
      </c>
      <c r="AC8" s="105">
        <f t="shared" si="2"/>
        <v>95767.775735294112</v>
      </c>
      <c r="AD8" s="105">
        <f t="shared" si="3"/>
        <v>26527.224264705885</v>
      </c>
      <c r="AE8" s="106">
        <v>1</v>
      </c>
      <c r="AF8" s="106">
        <v>0.373</v>
      </c>
      <c r="AG8" s="106">
        <v>0.17899999999999999</v>
      </c>
      <c r="AH8" s="131">
        <v>0.44800000000000001</v>
      </c>
      <c r="AI8" s="130" t="s">
        <v>752</v>
      </c>
    </row>
    <row r="9" spans="3:35" s="65" customFormat="1" ht="40.15" customHeight="1" x14ac:dyDescent="0.2">
      <c r="C9" s="87" t="s">
        <v>391</v>
      </c>
      <c r="D9" s="88"/>
      <c r="E9" s="89" t="s">
        <v>323</v>
      </c>
      <c r="F9" s="88"/>
      <c r="G9" s="90" t="s">
        <v>392</v>
      </c>
      <c r="H9" s="115">
        <v>41275</v>
      </c>
      <c r="I9" s="116"/>
      <c r="J9" s="93" t="s">
        <v>413</v>
      </c>
      <c r="K9" s="94">
        <f t="shared" si="4"/>
        <v>2013</v>
      </c>
      <c r="L9" s="117"/>
      <c r="M9" s="106"/>
      <c r="N9" s="106" t="str">
        <f>IF(M9="","",1-M9)</f>
        <v/>
      </c>
      <c r="O9" s="106"/>
      <c r="P9" s="106"/>
      <c r="Q9" s="99"/>
      <c r="R9" s="98"/>
      <c r="S9" s="131"/>
      <c r="T9" s="118"/>
      <c r="U9" s="119"/>
      <c r="V9" s="120"/>
      <c r="W9" s="121"/>
      <c r="X9" s="119"/>
      <c r="Y9" s="122"/>
      <c r="Z9" s="104">
        <v>338770</v>
      </c>
      <c r="AA9" s="105">
        <f t="shared" si="0"/>
        <v>338770</v>
      </c>
      <c r="AB9" s="105">
        <f t="shared" si="1"/>
        <v>0</v>
      </c>
      <c r="AC9" s="105">
        <f t="shared" si="2"/>
        <v>0</v>
      </c>
      <c r="AD9" s="105">
        <f t="shared" si="3"/>
        <v>0</v>
      </c>
      <c r="AE9" s="106"/>
      <c r="AF9" s="106"/>
      <c r="AG9" s="106"/>
      <c r="AH9" s="107"/>
      <c r="AI9" s="108"/>
    </row>
    <row r="10" spans="3:35" s="65" customFormat="1" ht="47.25" customHeight="1" x14ac:dyDescent="0.2">
      <c r="C10" s="87" t="s">
        <v>393</v>
      </c>
      <c r="D10" s="88"/>
      <c r="E10" s="89" t="s">
        <v>326</v>
      </c>
      <c r="F10" s="88"/>
      <c r="G10" s="90" t="s">
        <v>394</v>
      </c>
      <c r="H10" s="115">
        <v>41609</v>
      </c>
      <c r="I10" s="116"/>
      <c r="J10" s="93" t="s">
        <v>413</v>
      </c>
      <c r="K10" s="94">
        <f t="shared" si="4"/>
        <v>2013</v>
      </c>
      <c r="L10" s="117"/>
      <c r="M10" s="106"/>
      <c r="N10" s="106" t="str">
        <f>IF(M10="","",1-M10)</f>
        <v/>
      </c>
      <c r="O10" s="106"/>
      <c r="P10" s="106"/>
      <c r="Q10" s="99"/>
      <c r="R10" s="98"/>
      <c r="S10" s="131"/>
      <c r="T10" s="118"/>
      <c r="U10" s="119"/>
      <c r="V10" s="120"/>
      <c r="W10" s="121"/>
      <c r="X10" s="119"/>
      <c r="Y10" s="122"/>
      <c r="Z10" s="104">
        <v>292113</v>
      </c>
      <c r="AA10" s="105">
        <f t="shared" si="0"/>
        <v>292113</v>
      </c>
      <c r="AB10" s="105">
        <f t="shared" si="1"/>
        <v>0</v>
      </c>
      <c r="AC10" s="105">
        <f t="shared" si="2"/>
        <v>0</v>
      </c>
      <c r="AD10" s="105">
        <f t="shared" si="3"/>
        <v>0</v>
      </c>
      <c r="AE10" s="106"/>
      <c r="AF10" s="106"/>
      <c r="AG10" s="106"/>
      <c r="AH10" s="107"/>
      <c r="AI10" s="108"/>
    </row>
    <row r="11" spans="3:35" s="124" customFormat="1" ht="40.15" customHeight="1" x14ac:dyDescent="0.2">
      <c r="C11" s="87" t="s">
        <v>234</v>
      </c>
      <c r="D11" s="88"/>
      <c r="E11" s="89" t="s">
        <v>253</v>
      </c>
      <c r="F11" s="123"/>
      <c r="G11" s="90" t="s">
        <v>395</v>
      </c>
      <c r="H11" s="91">
        <v>40954</v>
      </c>
      <c r="I11" s="92">
        <v>41090</v>
      </c>
      <c r="J11" s="93" t="s">
        <v>413</v>
      </c>
      <c r="K11" s="94">
        <f t="shared" si="4"/>
        <v>2012</v>
      </c>
      <c r="L11" s="95">
        <v>25000</v>
      </c>
      <c r="M11" s="106">
        <v>0.7</v>
      </c>
      <c r="N11" s="106">
        <v>0.3</v>
      </c>
      <c r="O11" s="106">
        <v>0</v>
      </c>
      <c r="P11" s="106">
        <v>0.4</v>
      </c>
      <c r="Q11" s="99">
        <v>0.6</v>
      </c>
      <c r="R11" s="98">
        <v>1</v>
      </c>
      <c r="S11" s="131">
        <v>0</v>
      </c>
      <c r="T11" s="100">
        <v>25000</v>
      </c>
      <c r="U11" s="101">
        <v>25000</v>
      </c>
      <c r="V11" s="102">
        <v>25000</v>
      </c>
      <c r="W11" s="103">
        <v>0</v>
      </c>
      <c r="X11" s="101">
        <v>0</v>
      </c>
      <c r="Y11" s="93">
        <v>0</v>
      </c>
      <c r="Z11" s="104">
        <f>170824500/850</f>
        <v>200970</v>
      </c>
      <c r="AA11" s="105">
        <f t="shared" si="0"/>
        <v>200970</v>
      </c>
      <c r="AB11" s="105">
        <f t="shared" si="1"/>
        <v>0</v>
      </c>
      <c r="AC11" s="105">
        <f t="shared" si="2"/>
        <v>0</v>
      </c>
      <c r="AD11" s="105">
        <f t="shared" si="3"/>
        <v>0</v>
      </c>
      <c r="AE11" s="106">
        <v>1</v>
      </c>
      <c r="AF11" s="106">
        <f>36500000/(36500000+9000000+57000000+42900000)</f>
        <v>0.25103163686382396</v>
      </c>
      <c r="AG11" s="106">
        <f>(9000000+57000000)/(36500000+9000000+57000000+42900000)</f>
        <v>0.45392022008253097</v>
      </c>
      <c r="AH11" s="107">
        <f>42900000/(36500000+9000000+57000000+42900000)</f>
        <v>0.29504814305364513</v>
      </c>
      <c r="AI11" s="108"/>
    </row>
    <row r="12" spans="3:35" s="124" customFormat="1" ht="40.15" customHeight="1" x14ac:dyDescent="0.2">
      <c r="C12" s="87" t="s">
        <v>234</v>
      </c>
      <c r="D12" s="88"/>
      <c r="E12" s="89" t="s">
        <v>253</v>
      </c>
      <c r="F12" s="123"/>
      <c r="G12" s="90" t="s">
        <v>396</v>
      </c>
      <c r="H12" s="91">
        <v>40954</v>
      </c>
      <c r="I12" s="92">
        <v>41043</v>
      </c>
      <c r="J12" s="93" t="s">
        <v>413</v>
      </c>
      <c r="K12" s="94">
        <f t="shared" si="4"/>
        <v>2012</v>
      </c>
      <c r="L12" s="95">
        <v>25000</v>
      </c>
      <c r="M12" s="125">
        <v>0.7</v>
      </c>
      <c r="N12" s="125">
        <v>0.3</v>
      </c>
      <c r="O12" s="125">
        <v>0</v>
      </c>
      <c r="P12" s="125">
        <v>0.4</v>
      </c>
      <c r="Q12" s="126">
        <v>0.6</v>
      </c>
      <c r="R12" s="98">
        <v>1</v>
      </c>
      <c r="S12" s="131">
        <v>0</v>
      </c>
      <c r="T12" s="100">
        <v>25000</v>
      </c>
      <c r="U12" s="101">
        <v>25000</v>
      </c>
      <c r="V12" s="102">
        <v>25000</v>
      </c>
      <c r="W12" s="103">
        <v>0</v>
      </c>
      <c r="X12" s="101">
        <v>0</v>
      </c>
      <c r="Y12" s="93">
        <v>0</v>
      </c>
      <c r="Z12" s="104">
        <f>(36500000+9280000+57000000+42900000)/850</f>
        <v>171388.23529411765</v>
      </c>
      <c r="AA12" s="105">
        <f t="shared" si="0"/>
        <v>171388.23529411765</v>
      </c>
      <c r="AB12" s="105">
        <f t="shared" si="1"/>
        <v>0</v>
      </c>
      <c r="AC12" s="105">
        <f t="shared" si="2"/>
        <v>0</v>
      </c>
      <c r="AD12" s="105">
        <f t="shared" si="3"/>
        <v>0</v>
      </c>
      <c r="AE12" s="106">
        <v>1</v>
      </c>
      <c r="AF12" s="106">
        <v>0.25</v>
      </c>
      <c r="AG12" s="106">
        <v>0.45</v>
      </c>
      <c r="AH12" s="107">
        <v>0.3</v>
      </c>
      <c r="AI12" s="108"/>
    </row>
    <row r="13" spans="3:35" s="124" customFormat="1" ht="40.15" customHeight="1" x14ac:dyDescent="0.2">
      <c r="C13" s="87" t="s">
        <v>234</v>
      </c>
      <c r="D13" s="88"/>
      <c r="E13" s="89" t="s">
        <v>253</v>
      </c>
      <c r="F13" s="123"/>
      <c r="G13" s="90" t="s">
        <v>397</v>
      </c>
      <c r="H13" s="91">
        <v>41043</v>
      </c>
      <c r="I13" s="92">
        <v>41104</v>
      </c>
      <c r="J13" s="93" t="s">
        <v>413</v>
      </c>
      <c r="K13" s="94">
        <f t="shared" si="4"/>
        <v>2012</v>
      </c>
      <c r="L13" s="95">
        <v>7733</v>
      </c>
      <c r="M13" s="125">
        <v>0.55000000000000004</v>
      </c>
      <c r="N13" s="125">
        <v>0.45</v>
      </c>
      <c r="O13" s="125">
        <v>0</v>
      </c>
      <c r="P13" s="125">
        <v>0.5</v>
      </c>
      <c r="Q13" s="126">
        <v>0.5</v>
      </c>
      <c r="R13" s="98">
        <v>1</v>
      </c>
      <c r="S13" s="131">
        <v>0</v>
      </c>
      <c r="T13" s="100">
        <v>7733</v>
      </c>
      <c r="U13" s="101">
        <v>7733</v>
      </c>
      <c r="V13" s="102">
        <v>7733</v>
      </c>
      <c r="W13" s="103">
        <v>0</v>
      </c>
      <c r="X13" s="101">
        <v>0</v>
      </c>
      <c r="Y13" s="93">
        <v>0</v>
      </c>
      <c r="Z13" s="104">
        <f>28563380/850</f>
        <v>33603.976470588233</v>
      </c>
      <c r="AA13" s="105">
        <f t="shared" si="0"/>
        <v>33603.976470588233</v>
      </c>
      <c r="AB13" s="105">
        <f t="shared" si="1"/>
        <v>0</v>
      </c>
      <c r="AC13" s="105">
        <f t="shared" si="2"/>
        <v>0</v>
      </c>
      <c r="AD13" s="105">
        <f t="shared" si="3"/>
        <v>0</v>
      </c>
      <c r="AE13" s="106">
        <v>1</v>
      </c>
      <c r="AF13" s="106">
        <v>0.04</v>
      </c>
      <c r="AG13" s="106">
        <v>0.95</v>
      </c>
      <c r="AH13" s="107">
        <v>0</v>
      </c>
      <c r="AI13" s="108"/>
    </row>
    <row r="14" spans="3:35" s="124" customFormat="1" ht="40.15" customHeight="1" x14ac:dyDescent="0.2">
      <c r="C14" s="87" t="s">
        <v>234</v>
      </c>
      <c r="D14" s="88"/>
      <c r="E14" s="89" t="s">
        <v>253</v>
      </c>
      <c r="F14" s="88"/>
      <c r="G14" s="90" t="s">
        <v>397</v>
      </c>
      <c r="H14" s="135">
        <v>41913</v>
      </c>
      <c r="I14" s="645">
        <v>42109</v>
      </c>
      <c r="J14" s="646" t="s">
        <v>231</v>
      </c>
      <c r="K14" s="94">
        <v>2014</v>
      </c>
      <c r="L14" s="95">
        <v>11820</v>
      </c>
      <c r="M14" s="106">
        <v>0.86</v>
      </c>
      <c r="N14" s="106">
        <v>0.14000000000000001</v>
      </c>
      <c r="O14" s="106">
        <v>0</v>
      </c>
      <c r="P14" s="106">
        <v>0.87</v>
      </c>
      <c r="Q14" s="99">
        <v>0.13</v>
      </c>
      <c r="R14" s="98">
        <v>1</v>
      </c>
      <c r="S14" s="131">
        <v>0</v>
      </c>
      <c r="T14" s="100">
        <v>5360</v>
      </c>
      <c r="U14" s="101">
        <v>11820</v>
      </c>
      <c r="V14" s="102">
        <v>9833</v>
      </c>
      <c r="W14" s="134">
        <v>0</v>
      </c>
      <c r="X14" s="101">
        <v>0</v>
      </c>
      <c r="Y14" s="93">
        <v>0</v>
      </c>
      <c r="Z14" s="104">
        <v>220997.4</v>
      </c>
      <c r="AA14" s="105">
        <f t="shared" si="0"/>
        <v>0</v>
      </c>
      <c r="AB14" s="105">
        <f t="shared" si="1"/>
        <v>102605.93571428572</v>
      </c>
      <c r="AC14" s="105">
        <f t="shared" si="2"/>
        <v>118391.46428571428</v>
      </c>
      <c r="AD14" s="105">
        <f t="shared" si="3"/>
        <v>0</v>
      </c>
      <c r="AE14" s="106">
        <v>1</v>
      </c>
      <c r="AF14" s="309">
        <v>0.44</v>
      </c>
      <c r="AG14" s="309">
        <v>0.2</v>
      </c>
      <c r="AH14" s="310">
        <v>0.36</v>
      </c>
      <c r="AI14" s="130"/>
    </row>
    <row r="15" spans="3:35" s="124" customFormat="1" ht="40.15" customHeight="1" x14ac:dyDescent="0.2">
      <c r="C15" s="87" t="s">
        <v>230</v>
      </c>
      <c r="D15" s="88"/>
      <c r="E15" s="89" t="s">
        <v>253</v>
      </c>
      <c r="F15" s="123"/>
      <c r="G15" s="90" t="s">
        <v>397</v>
      </c>
      <c r="H15" s="91">
        <v>41062</v>
      </c>
      <c r="I15" s="92">
        <v>41212</v>
      </c>
      <c r="J15" s="93" t="s">
        <v>413</v>
      </c>
      <c r="K15" s="94">
        <f t="shared" si="4"/>
        <v>2012</v>
      </c>
      <c r="L15" s="95">
        <v>5500</v>
      </c>
      <c r="M15" s="106">
        <v>0.35</v>
      </c>
      <c r="N15" s="106">
        <v>0.65</v>
      </c>
      <c r="O15" s="106">
        <v>0</v>
      </c>
      <c r="P15" s="106">
        <v>0.6</v>
      </c>
      <c r="Q15" s="99">
        <v>0.4</v>
      </c>
      <c r="R15" s="98">
        <v>1</v>
      </c>
      <c r="S15" s="131">
        <v>0</v>
      </c>
      <c r="T15" s="100">
        <v>5500</v>
      </c>
      <c r="U15" s="101">
        <v>5500</v>
      </c>
      <c r="V15" s="102">
        <v>5500</v>
      </c>
      <c r="W15" s="103">
        <v>0</v>
      </c>
      <c r="X15" s="101">
        <v>0</v>
      </c>
      <c r="Y15" s="93">
        <v>0</v>
      </c>
      <c r="Z15" s="104">
        <f>(110436225)/850</f>
        <v>129924.9705882353</v>
      </c>
      <c r="AA15" s="105">
        <f t="shared" si="0"/>
        <v>129924.9705882353</v>
      </c>
      <c r="AB15" s="105">
        <f t="shared" si="1"/>
        <v>0</v>
      </c>
      <c r="AC15" s="105">
        <f t="shared" si="2"/>
        <v>0</v>
      </c>
      <c r="AD15" s="105">
        <f t="shared" si="3"/>
        <v>0</v>
      </c>
      <c r="AE15" s="106">
        <v>1</v>
      </c>
      <c r="AF15" s="106">
        <v>0.41</v>
      </c>
      <c r="AG15" s="106">
        <v>0.3</v>
      </c>
      <c r="AH15" s="107">
        <v>0.28999999999999998</v>
      </c>
      <c r="AI15" s="108"/>
    </row>
    <row r="16" spans="3:35" s="124" customFormat="1" ht="40.15" customHeight="1" x14ac:dyDescent="0.2">
      <c r="C16" s="87" t="s">
        <v>230</v>
      </c>
      <c r="D16" s="88"/>
      <c r="E16" s="89" t="s">
        <v>253</v>
      </c>
      <c r="F16" s="123"/>
      <c r="G16" s="90" t="s">
        <v>397</v>
      </c>
      <c r="H16" s="91">
        <v>41028</v>
      </c>
      <c r="I16" s="92">
        <v>41119</v>
      </c>
      <c r="J16" s="93" t="s">
        <v>413</v>
      </c>
      <c r="K16" s="94">
        <f t="shared" si="4"/>
        <v>2012</v>
      </c>
      <c r="L16" s="95">
        <v>18791</v>
      </c>
      <c r="M16" s="127">
        <v>0.48</v>
      </c>
      <c r="N16" s="127">
        <f>IF(M16="","",1-M16)</f>
        <v>0.52</v>
      </c>
      <c r="O16" s="127">
        <v>0.3</v>
      </c>
      <c r="P16" s="127">
        <v>0.5</v>
      </c>
      <c r="Q16" s="128">
        <v>0.2</v>
      </c>
      <c r="R16" s="98">
        <v>1</v>
      </c>
      <c r="S16" s="131">
        <v>0</v>
      </c>
      <c r="T16" s="100">
        <v>18791</v>
      </c>
      <c r="U16" s="101">
        <v>18791</v>
      </c>
      <c r="V16" s="102">
        <v>18791</v>
      </c>
      <c r="W16" s="103">
        <v>0</v>
      </c>
      <c r="X16" s="101">
        <v>0</v>
      </c>
      <c r="Y16" s="93">
        <v>0</v>
      </c>
      <c r="Z16" s="104">
        <f>126894457/850</f>
        <v>149287.59647058824</v>
      </c>
      <c r="AA16" s="105">
        <f t="shared" si="0"/>
        <v>149287.59647058824</v>
      </c>
      <c r="AB16" s="105">
        <f t="shared" si="1"/>
        <v>0</v>
      </c>
      <c r="AC16" s="105">
        <f t="shared" si="2"/>
        <v>0</v>
      </c>
      <c r="AD16" s="105">
        <f t="shared" si="3"/>
        <v>0</v>
      </c>
      <c r="AE16" s="106">
        <v>1</v>
      </c>
      <c r="AF16" s="106">
        <f>(992500+25000000+615000)/101942950</f>
        <v>0.26100382615963141</v>
      </c>
      <c r="AG16" s="106">
        <v>0.62</v>
      </c>
      <c r="AH16" s="107">
        <f>(498000+10905000+675000)/101942950</f>
        <v>0.11847803109484276</v>
      </c>
      <c r="AI16" s="108"/>
    </row>
    <row r="17" spans="3:35" s="124" customFormat="1" ht="40.15" customHeight="1" x14ac:dyDescent="0.2">
      <c r="C17" s="87" t="s">
        <v>230</v>
      </c>
      <c r="D17" s="88"/>
      <c r="E17" s="89" t="s">
        <v>253</v>
      </c>
      <c r="F17" s="123"/>
      <c r="G17" s="90" t="s">
        <v>397</v>
      </c>
      <c r="H17" s="91">
        <v>41344</v>
      </c>
      <c r="I17" s="92">
        <v>41358</v>
      </c>
      <c r="J17" s="93" t="s">
        <v>413</v>
      </c>
      <c r="K17" s="94">
        <f t="shared" si="4"/>
        <v>2013</v>
      </c>
      <c r="L17" s="95">
        <v>493</v>
      </c>
      <c r="M17" s="106">
        <v>0.45</v>
      </c>
      <c r="N17" s="106">
        <v>0.55000000000000004</v>
      </c>
      <c r="O17" s="106">
        <v>0</v>
      </c>
      <c r="P17" s="106">
        <v>1</v>
      </c>
      <c r="Q17" s="99">
        <v>0</v>
      </c>
      <c r="R17" s="98">
        <v>1</v>
      </c>
      <c r="S17" s="131">
        <v>0</v>
      </c>
      <c r="T17" s="100">
        <v>493</v>
      </c>
      <c r="U17" s="101">
        <v>0</v>
      </c>
      <c r="V17" s="102">
        <v>0</v>
      </c>
      <c r="W17" s="103">
        <v>0</v>
      </c>
      <c r="X17" s="101">
        <v>0</v>
      </c>
      <c r="Y17" s="93">
        <v>0</v>
      </c>
      <c r="Z17" s="104">
        <f>2576780/850</f>
        <v>3031.5058823529412</v>
      </c>
      <c r="AA17" s="105">
        <f t="shared" si="0"/>
        <v>3031.5058823529412</v>
      </c>
      <c r="AB17" s="105">
        <f t="shared" si="1"/>
        <v>0</v>
      </c>
      <c r="AC17" s="105">
        <f t="shared" si="2"/>
        <v>0</v>
      </c>
      <c r="AD17" s="105">
        <f t="shared" si="3"/>
        <v>0</v>
      </c>
      <c r="AE17" s="106">
        <v>1</v>
      </c>
      <c r="AF17" s="106">
        <v>1</v>
      </c>
      <c r="AG17" s="106">
        <v>0</v>
      </c>
      <c r="AH17" s="107">
        <v>0</v>
      </c>
      <c r="AI17" s="108"/>
    </row>
    <row r="18" spans="3:35" s="124" customFormat="1" ht="40.15" customHeight="1" x14ac:dyDescent="0.2">
      <c r="C18" s="87" t="s">
        <v>230</v>
      </c>
      <c r="D18" s="88"/>
      <c r="E18" s="89" t="s">
        <v>398</v>
      </c>
      <c r="F18" s="123"/>
      <c r="G18" s="90"/>
      <c r="H18" s="91">
        <v>41275</v>
      </c>
      <c r="I18" s="92"/>
      <c r="J18" s="93" t="s">
        <v>413</v>
      </c>
      <c r="K18" s="94">
        <f t="shared" si="4"/>
        <v>2013</v>
      </c>
      <c r="L18" s="95"/>
      <c r="M18" s="106"/>
      <c r="N18" s="106" t="str">
        <f t="shared" ref="N18:N25" si="5">IF(M18="","",1-M18)</f>
        <v/>
      </c>
      <c r="O18" s="106"/>
      <c r="P18" s="106"/>
      <c r="Q18" s="99"/>
      <c r="R18" s="98"/>
      <c r="S18" s="131"/>
      <c r="T18" s="100"/>
      <c r="U18" s="101"/>
      <c r="V18" s="102"/>
      <c r="W18" s="103"/>
      <c r="X18" s="101"/>
      <c r="Y18" s="93"/>
      <c r="Z18" s="104"/>
      <c r="AA18" s="105">
        <f t="shared" si="0"/>
        <v>0</v>
      </c>
      <c r="AB18" s="105">
        <f t="shared" si="1"/>
        <v>0</v>
      </c>
      <c r="AC18" s="105">
        <f t="shared" si="2"/>
        <v>0</v>
      </c>
      <c r="AD18" s="105">
        <f t="shared" si="3"/>
        <v>0</v>
      </c>
      <c r="AE18" s="106"/>
      <c r="AF18" s="106"/>
      <c r="AG18" s="106"/>
      <c r="AH18" s="107"/>
      <c r="AI18" s="108"/>
    </row>
    <row r="19" spans="3:35" s="124" customFormat="1" ht="40.15" customHeight="1" x14ac:dyDescent="0.2">
      <c r="C19" s="87" t="s">
        <v>230</v>
      </c>
      <c r="D19" s="88"/>
      <c r="E19" s="89" t="s">
        <v>253</v>
      </c>
      <c r="F19" s="123"/>
      <c r="G19" s="90" t="s">
        <v>399</v>
      </c>
      <c r="H19" s="91">
        <v>41663</v>
      </c>
      <c r="I19" s="92">
        <v>41843</v>
      </c>
      <c r="J19" s="93" t="s">
        <v>413</v>
      </c>
      <c r="K19" s="94">
        <f t="shared" si="4"/>
        <v>2014</v>
      </c>
      <c r="L19" s="95">
        <v>3756</v>
      </c>
      <c r="M19" s="106">
        <v>0.65</v>
      </c>
      <c r="N19" s="106">
        <f t="shared" si="5"/>
        <v>0.35</v>
      </c>
      <c r="O19" s="106">
        <v>0.61</v>
      </c>
      <c r="P19" s="106">
        <v>0</v>
      </c>
      <c r="Q19" s="99">
        <f>1453/3756</f>
        <v>0.38684771033013843</v>
      </c>
      <c r="R19" s="98">
        <v>1</v>
      </c>
      <c r="S19" s="131">
        <v>0</v>
      </c>
      <c r="T19" s="100">
        <v>3756</v>
      </c>
      <c r="U19" s="101">
        <v>3756</v>
      </c>
      <c r="V19" s="102">
        <v>3756</v>
      </c>
      <c r="W19" s="103">
        <v>0</v>
      </c>
      <c r="X19" s="101">
        <v>0</v>
      </c>
      <c r="Y19" s="93">
        <v>0</v>
      </c>
      <c r="Z19" s="104">
        <v>201418</v>
      </c>
      <c r="AA19" s="105">
        <f t="shared" si="0"/>
        <v>0</v>
      </c>
      <c r="AB19" s="105">
        <f t="shared" si="1"/>
        <v>201418</v>
      </c>
      <c r="AC19" s="105">
        <f t="shared" si="2"/>
        <v>0</v>
      </c>
      <c r="AD19" s="105">
        <f t="shared" si="3"/>
        <v>0</v>
      </c>
      <c r="AE19" s="106">
        <v>1</v>
      </c>
      <c r="AF19" s="106">
        <v>0.5</v>
      </c>
      <c r="AG19" s="106">
        <v>0.43</v>
      </c>
      <c r="AH19" s="107">
        <v>7.0000000000000007E-2</v>
      </c>
      <c r="AI19" s="108"/>
    </row>
    <row r="20" spans="3:35" s="124" customFormat="1" ht="40.15" customHeight="1" x14ac:dyDescent="0.2">
      <c r="C20" s="87" t="s">
        <v>250</v>
      </c>
      <c r="D20" s="88"/>
      <c r="E20" s="89" t="s">
        <v>322</v>
      </c>
      <c r="F20" s="88"/>
      <c r="G20" s="90" t="s">
        <v>400</v>
      </c>
      <c r="H20" s="115">
        <v>41412</v>
      </c>
      <c r="I20" s="116">
        <v>41777</v>
      </c>
      <c r="J20" s="93" t="s">
        <v>413</v>
      </c>
      <c r="K20" s="94">
        <f t="shared" si="4"/>
        <v>2013</v>
      </c>
      <c r="L20" s="95">
        <v>33204</v>
      </c>
      <c r="M20" s="96">
        <v>0.1</v>
      </c>
      <c r="N20" s="96">
        <f t="shared" si="5"/>
        <v>0.9</v>
      </c>
      <c r="O20" s="96">
        <v>0</v>
      </c>
      <c r="P20" s="96">
        <v>0</v>
      </c>
      <c r="Q20" s="97">
        <v>1</v>
      </c>
      <c r="R20" s="111">
        <v>7.0000000000000007E-2</v>
      </c>
      <c r="S20" s="129">
        <v>0.93</v>
      </c>
      <c r="T20" s="100">
        <v>2416</v>
      </c>
      <c r="U20" s="101">
        <v>146</v>
      </c>
      <c r="V20" s="102">
        <v>2416</v>
      </c>
      <c r="W20" s="103">
        <v>22000</v>
      </c>
      <c r="X20" s="101">
        <v>8788</v>
      </c>
      <c r="Y20" s="93">
        <v>30788</v>
      </c>
      <c r="Z20" s="112">
        <v>26986</v>
      </c>
      <c r="AA20" s="113">
        <f t="shared" si="0"/>
        <v>16857.008219178082</v>
      </c>
      <c r="AB20" s="113">
        <f t="shared" si="1"/>
        <v>10128.991780821918</v>
      </c>
      <c r="AC20" s="113">
        <f t="shared" si="2"/>
        <v>0</v>
      </c>
      <c r="AD20" s="113">
        <f t="shared" si="3"/>
        <v>0</v>
      </c>
      <c r="AE20" s="96">
        <v>0.04</v>
      </c>
      <c r="AF20" s="106">
        <v>0.82</v>
      </c>
      <c r="AG20" s="96">
        <v>0.12</v>
      </c>
      <c r="AH20" s="129">
        <v>0.06</v>
      </c>
      <c r="AI20" s="130"/>
    </row>
    <row r="21" spans="3:35" s="124" customFormat="1" ht="40.15" customHeight="1" x14ac:dyDescent="0.2">
      <c r="C21" s="87" t="s">
        <v>232</v>
      </c>
      <c r="D21" s="88"/>
      <c r="E21" s="89" t="s">
        <v>253</v>
      </c>
      <c r="F21" s="88"/>
      <c r="G21" s="487" t="s">
        <v>397</v>
      </c>
      <c r="H21" s="488">
        <v>40973</v>
      </c>
      <c r="I21" s="489">
        <v>41074</v>
      </c>
      <c r="J21" s="490" t="s">
        <v>413</v>
      </c>
      <c r="K21" s="491">
        <f t="shared" si="4"/>
        <v>2012</v>
      </c>
      <c r="L21" s="95">
        <v>14000</v>
      </c>
      <c r="M21" s="96"/>
      <c r="N21" s="96" t="str">
        <f t="shared" si="5"/>
        <v/>
      </c>
      <c r="O21" s="96"/>
      <c r="P21" s="96"/>
      <c r="Q21" s="97"/>
      <c r="R21" s="98">
        <v>1</v>
      </c>
      <c r="S21" s="131">
        <v>0</v>
      </c>
      <c r="T21" s="100">
        <v>14000</v>
      </c>
      <c r="U21" s="101">
        <v>14000</v>
      </c>
      <c r="V21" s="102">
        <v>14000</v>
      </c>
      <c r="W21" s="103">
        <v>0</v>
      </c>
      <c r="X21" s="101">
        <v>0</v>
      </c>
      <c r="Y21" s="93">
        <v>0</v>
      </c>
      <c r="Z21" s="104">
        <f>(28600000+4800000+31800000+6266000)/850+8360</f>
        <v>92437.647058823524</v>
      </c>
      <c r="AA21" s="105">
        <f t="shared" si="0"/>
        <v>92437.647058823524</v>
      </c>
      <c r="AB21" s="206">
        <f t="shared" si="1"/>
        <v>0</v>
      </c>
      <c r="AC21" s="206">
        <f t="shared" si="2"/>
        <v>0</v>
      </c>
      <c r="AD21" s="714">
        <f t="shared" si="3"/>
        <v>0</v>
      </c>
      <c r="AE21" s="131">
        <v>1</v>
      </c>
      <c r="AF21" s="106">
        <v>0.36</v>
      </c>
      <c r="AG21" s="106">
        <v>0.53</v>
      </c>
      <c r="AH21" s="132">
        <v>0.1</v>
      </c>
      <c r="AI21" s="130"/>
    </row>
    <row r="22" spans="3:35" s="124" customFormat="1" ht="40.15" customHeight="1" x14ac:dyDescent="0.2">
      <c r="C22" s="87" t="s">
        <v>232</v>
      </c>
      <c r="D22" s="88"/>
      <c r="E22" s="89" t="s">
        <v>253</v>
      </c>
      <c r="F22" s="88"/>
      <c r="G22" s="487" t="s">
        <v>397</v>
      </c>
      <c r="H22" s="488">
        <v>40941</v>
      </c>
      <c r="I22" s="489">
        <v>41090</v>
      </c>
      <c r="J22" s="490" t="s">
        <v>413</v>
      </c>
      <c r="K22" s="491">
        <f t="shared" si="4"/>
        <v>2012</v>
      </c>
      <c r="L22" s="95">
        <v>3240</v>
      </c>
      <c r="M22" s="96"/>
      <c r="N22" s="96" t="str">
        <f t="shared" si="5"/>
        <v/>
      </c>
      <c r="O22" s="96"/>
      <c r="P22" s="96"/>
      <c r="Q22" s="97"/>
      <c r="R22" s="98">
        <v>1</v>
      </c>
      <c r="S22" s="131">
        <v>0</v>
      </c>
      <c r="T22" s="100">
        <v>3240</v>
      </c>
      <c r="U22" s="101">
        <v>3240</v>
      </c>
      <c r="V22" s="102">
        <v>3240</v>
      </c>
      <c r="W22" s="103">
        <v>0</v>
      </c>
      <c r="X22" s="101">
        <v>0</v>
      </c>
      <c r="Y22" s="93">
        <v>0</v>
      </c>
      <c r="Z22" s="104">
        <f>(7354000+3480000+7870000+10800000)/850</f>
        <v>34710.588235294119</v>
      </c>
      <c r="AA22" s="105">
        <f t="shared" si="0"/>
        <v>34710.588235294119</v>
      </c>
      <c r="AB22" s="206">
        <f t="shared" si="1"/>
        <v>0</v>
      </c>
      <c r="AC22" s="206">
        <f t="shared" si="2"/>
        <v>0</v>
      </c>
      <c r="AD22" s="714">
        <f t="shared" si="3"/>
        <v>0</v>
      </c>
      <c r="AE22" s="131">
        <v>1</v>
      </c>
      <c r="AF22" s="106">
        <v>0.35</v>
      </c>
      <c r="AG22" s="106">
        <v>0.38</v>
      </c>
      <c r="AH22" s="132">
        <v>0.36</v>
      </c>
      <c r="AI22" s="130"/>
    </row>
    <row r="23" spans="3:35" s="124" customFormat="1" ht="40.15" customHeight="1" x14ac:dyDescent="0.2">
      <c r="C23" s="87" t="s">
        <v>232</v>
      </c>
      <c r="D23" s="88"/>
      <c r="E23" s="89" t="s">
        <v>253</v>
      </c>
      <c r="F23" s="123"/>
      <c r="G23" s="487" t="s">
        <v>397</v>
      </c>
      <c r="H23" s="488">
        <v>40940</v>
      </c>
      <c r="I23" s="489">
        <v>41029</v>
      </c>
      <c r="J23" s="490" t="s">
        <v>413</v>
      </c>
      <c r="K23" s="491">
        <f t="shared" si="4"/>
        <v>2012</v>
      </c>
      <c r="L23" s="95">
        <v>14000</v>
      </c>
      <c r="M23" s="96"/>
      <c r="N23" s="96" t="str">
        <f t="shared" si="5"/>
        <v/>
      </c>
      <c r="O23" s="96"/>
      <c r="P23" s="96"/>
      <c r="Q23" s="97"/>
      <c r="R23" s="98">
        <v>1</v>
      </c>
      <c r="S23" s="131">
        <v>0</v>
      </c>
      <c r="T23" s="100">
        <v>14000</v>
      </c>
      <c r="U23" s="101">
        <v>14000</v>
      </c>
      <c r="V23" s="102">
        <v>14000</v>
      </c>
      <c r="W23" s="103">
        <v>0</v>
      </c>
      <c r="X23" s="101">
        <v>0</v>
      </c>
      <c r="Y23" s="93">
        <v>0</v>
      </c>
      <c r="Z23" s="104">
        <f>35400+9000+39360</f>
        <v>83760</v>
      </c>
      <c r="AA23" s="105">
        <f t="shared" si="0"/>
        <v>83760</v>
      </c>
      <c r="AB23" s="206">
        <f t="shared" si="1"/>
        <v>0</v>
      </c>
      <c r="AC23" s="206">
        <f t="shared" si="2"/>
        <v>0</v>
      </c>
      <c r="AD23" s="714">
        <f t="shared" si="3"/>
        <v>0</v>
      </c>
      <c r="AE23" s="131">
        <v>1</v>
      </c>
      <c r="AF23" s="106">
        <v>0.42</v>
      </c>
      <c r="AG23" s="106">
        <v>0.55000000000000004</v>
      </c>
      <c r="AH23" s="132">
        <v>0.22</v>
      </c>
      <c r="AI23" s="130"/>
    </row>
    <row r="24" spans="3:35" s="124" customFormat="1" ht="40.15" customHeight="1" x14ac:dyDescent="0.2">
      <c r="C24" s="87" t="s">
        <v>232</v>
      </c>
      <c r="D24" s="88"/>
      <c r="E24" s="89" t="s">
        <v>253</v>
      </c>
      <c r="F24" s="88"/>
      <c r="G24" s="487" t="s">
        <v>397</v>
      </c>
      <c r="H24" s="488">
        <v>41346</v>
      </c>
      <c r="I24" s="489">
        <v>41437</v>
      </c>
      <c r="J24" s="490" t="s">
        <v>413</v>
      </c>
      <c r="K24" s="491">
        <f t="shared" si="4"/>
        <v>2013</v>
      </c>
      <c r="L24" s="95">
        <v>19000</v>
      </c>
      <c r="M24" s="125">
        <f>13000/19000</f>
        <v>0.68421052631578949</v>
      </c>
      <c r="N24" s="125">
        <f t="shared" si="5"/>
        <v>0.31578947368421051</v>
      </c>
      <c r="O24" s="125">
        <v>0</v>
      </c>
      <c r="P24" s="125">
        <v>0.32</v>
      </c>
      <c r="Q24" s="126">
        <f>12981/L24</f>
        <v>0.68321052631578949</v>
      </c>
      <c r="R24" s="98">
        <v>1</v>
      </c>
      <c r="S24" s="131">
        <v>0</v>
      </c>
      <c r="T24" s="100">
        <v>19000</v>
      </c>
      <c r="U24" s="101">
        <v>19000</v>
      </c>
      <c r="V24" s="102">
        <v>19000</v>
      </c>
      <c r="W24" s="103">
        <v>0</v>
      </c>
      <c r="X24" s="101">
        <v>0</v>
      </c>
      <c r="Y24" s="93">
        <v>0</v>
      </c>
      <c r="Z24" s="104">
        <f>83567321/850</f>
        <v>98314.495294117645</v>
      </c>
      <c r="AA24" s="105">
        <f t="shared" si="0"/>
        <v>98314.495294117645</v>
      </c>
      <c r="AB24" s="206">
        <f t="shared" si="1"/>
        <v>0</v>
      </c>
      <c r="AC24" s="206">
        <f t="shared" si="2"/>
        <v>0</v>
      </c>
      <c r="AD24" s="206">
        <f t="shared" si="3"/>
        <v>0</v>
      </c>
      <c r="AE24" s="106">
        <v>1</v>
      </c>
      <c r="AF24" s="106">
        <f>22500000/83567321</f>
        <v>0.26924400268856291</v>
      </c>
      <c r="AG24" s="106">
        <v>0.14000000000000001</v>
      </c>
      <c r="AH24" s="131">
        <f>48974300/83567321</f>
        <v>0.58604606937202164</v>
      </c>
      <c r="AI24" s="130"/>
    </row>
    <row r="25" spans="3:35" s="124" customFormat="1" ht="40.15" customHeight="1" x14ac:dyDescent="0.2">
      <c r="C25" s="87" t="s">
        <v>232</v>
      </c>
      <c r="D25" s="88"/>
      <c r="E25" s="89" t="s">
        <v>253</v>
      </c>
      <c r="F25" s="88"/>
      <c r="G25" s="487" t="s">
        <v>397</v>
      </c>
      <c r="H25" s="488">
        <v>41082</v>
      </c>
      <c r="I25" s="489">
        <v>41364</v>
      </c>
      <c r="J25" s="490" t="s">
        <v>413</v>
      </c>
      <c r="K25" s="491">
        <f t="shared" si="4"/>
        <v>2012</v>
      </c>
      <c r="L25" s="95"/>
      <c r="M25" s="125"/>
      <c r="N25" s="125" t="str">
        <f t="shared" si="5"/>
        <v/>
      </c>
      <c r="O25" s="125"/>
      <c r="P25" s="125"/>
      <c r="Q25" s="126"/>
      <c r="R25" s="98"/>
      <c r="S25" s="131"/>
      <c r="T25" s="100"/>
      <c r="U25" s="101"/>
      <c r="V25" s="102"/>
      <c r="W25" s="103"/>
      <c r="X25" s="101"/>
      <c r="Y25" s="93"/>
      <c r="Z25" s="104">
        <f>136729365/780</f>
        <v>175294.05769230769</v>
      </c>
      <c r="AA25" s="105">
        <f t="shared" si="0"/>
        <v>175294.05769230769</v>
      </c>
      <c r="AB25" s="105">
        <f t="shared" si="1"/>
        <v>0</v>
      </c>
      <c r="AC25" s="105">
        <f t="shared" si="2"/>
        <v>0</v>
      </c>
      <c r="AD25" s="105">
        <f t="shared" si="3"/>
        <v>0</v>
      </c>
      <c r="AE25" s="106"/>
      <c r="AF25" s="106"/>
      <c r="AG25" s="106"/>
      <c r="AH25" s="131"/>
      <c r="AI25" s="130"/>
    </row>
    <row r="26" spans="3:35" s="124" customFormat="1" ht="40.15" customHeight="1" x14ac:dyDescent="0.2">
      <c r="C26" s="87" t="s">
        <v>232</v>
      </c>
      <c r="D26" s="88"/>
      <c r="E26" s="89" t="s">
        <v>253</v>
      </c>
      <c r="F26" s="88"/>
      <c r="G26" s="90" t="s">
        <v>397</v>
      </c>
      <c r="H26" s="135">
        <v>41648</v>
      </c>
      <c r="I26" s="645">
        <v>41951</v>
      </c>
      <c r="J26" s="137" t="s">
        <v>413</v>
      </c>
      <c r="K26" s="94">
        <v>2014</v>
      </c>
      <c r="L26" s="311">
        <v>11000</v>
      </c>
      <c r="M26" s="106">
        <v>0.62</v>
      </c>
      <c r="N26" s="106">
        <v>0.38</v>
      </c>
      <c r="O26" s="106">
        <v>0</v>
      </c>
      <c r="P26" s="106">
        <v>1</v>
      </c>
      <c r="Q26" s="99">
        <v>0</v>
      </c>
      <c r="R26" s="98">
        <v>1</v>
      </c>
      <c r="S26" s="131">
        <v>0</v>
      </c>
      <c r="T26" s="100">
        <v>11000</v>
      </c>
      <c r="U26" s="101">
        <v>11000</v>
      </c>
      <c r="V26" s="102">
        <v>11000</v>
      </c>
      <c r="W26" s="134">
        <v>0</v>
      </c>
      <c r="X26" s="101">
        <v>0</v>
      </c>
      <c r="Y26" s="93">
        <v>0</v>
      </c>
      <c r="Z26" s="104">
        <v>337220.99</v>
      </c>
      <c r="AA26" s="105">
        <f t="shared" si="0"/>
        <v>0</v>
      </c>
      <c r="AB26" s="105">
        <f t="shared" si="1"/>
        <v>337220.99</v>
      </c>
      <c r="AC26" s="105">
        <f t="shared" si="2"/>
        <v>0</v>
      </c>
      <c r="AD26" s="105">
        <f t="shared" si="3"/>
        <v>0</v>
      </c>
      <c r="AE26" s="106">
        <v>1</v>
      </c>
      <c r="AF26" s="309">
        <v>0.33</v>
      </c>
      <c r="AG26" s="309">
        <v>0.33</v>
      </c>
      <c r="AH26" s="310">
        <v>0.34</v>
      </c>
      <c r="AI26" s="130"/>
    </row>
    <row r="27" spans="3:35" s="124" customFormat="1" ht="40.15" customHeight="1" x14ac:dyDescent="0.2">
      <c r="C27" s="87" t="s">
        <v>232</v>
      </c>
      <c r="D27" s="88"/>
      <c r="E27" s="89" t="s">
        <v>253</v>
      </c>
      <c r="F27" s="88"/>
      <c r="G27" s="90" t="s">
        <v>397</v>
      </c>
      <c r="H27" s="647">
        <v>41928</v>
      </c>
      <c r="I27" s="645">
        <v>42109</v>
      </c>
      <c r="J27" s="646" t="s">
        <v>231</v>
      </c>
      <c r="K27" s="94">
        <v>2014</v>
      </c>
      <c r="L27" s="95">
        <v>13389</v>
      </c>
      <c r="M27" s="312">
        <v>0.59</v>
      </c>
      <c r="N27" s="106">
        <v>0.41</v>
      </c>
      <c r="O27" s="106">
        <v>0</v>
      </c>
      <c r="P27" s="106">
        <v>1</v>
      </c>
      <c r="Q27" s="99">
        <v>0</v>
      </c>
      <c r="R27" s="98">
        <v>1</v>
      </c>
      <c r="S27" s="131">
        <v>0</v>
      </c>
      <c r="T27" s="100">
        <v>5571</v>
      </c>
      <c r="U27" s="101">
        <v>5643</v>
      </c>
      <c r="V27" s="102">
        <v>13389</v>
      </c>
      <c r="W27" s="134">
        <v>0</v>
      </c>
      <c r="X27" s="101">
        <v>0</v>
      </c>
      <c r="Y27" s="93">
        <v>0</v>
      </c>
      <c r="Z27" s="104">
        <v>288461.43</v>
      </c>
      <c r="AA27" s="105">
        <f t="shared" si="0"/>
        <v>0</v>
      </c>
      <c r="AB27" s="105">
        <f t="shared" si="1"/>
        <v>121121.92640883979</v>
      </c>
      <c r="AC27" s="105">
        <f t="shared" si="2"/>
        <v>167339.5035911602</v>
      </c>
      <c r="AD27" s="105">
        <f t="shared" si="3"/>
        <v>0</v>
      </c>
      <c r="AE27" s="106">
        <v>1</v>
      </c>
      <c r="AF27" s="309">
        <v>0.23</v>
      </c>
      <c r="AG27" s="309">
        <v>0.23</v>
      </c>
      <c r="AH27" s="310">
        <v>0.54</v>
      </c>
      <c r="AI27" s="130"/>
    </row>
    <row r="28" spans="3:35" s="124" customFormat="1" ht="40.15" customHeight="1" x14ac:dyDescent="0.2">
      <c r="C28" s="87" t="s">
        <v>232</v>
      </c>
      <c r="D28" s="88" t="s">
        <v>598</v>
      </c>
      <c r="E28" s="89" t="s">
        <v>597</v>
      </c>
      <c r="F28" s="88"/>
      <c r="G28" s="90" t="s">
        <v>397</v>
      </c>
      <c r="H28" s="91">
        <v>41757</v>
      </c>
      <c r="I28" s="92">
        <v>41802</v>
      </c>
      <c r="J28" s="93" t="s">
        <v>413</v>
      </c>
      <c r="K28" s="94">
        <f t="shared" si="4"/>
        <v>2014</v>
      </c>
      <c r="L28" s="95"/>
      <c r="M28" s="125"/>
      <c r="N28" s="125"/>
      <c r="O28" s="125">
        <v>1</v>
      </c>
      <c r="P28" s="125">
        <v>0</v>
      </c>
      <c r="Q28" s="126">
        <v>0</v>
      </c>
      <c r="R28" s="98">
        <v>1</v>
      </c>
      <c r="S28" s="131">
        <v>0</v>
      </c>
      <c r="T28" s="100"/>
      <c r="U28" s="101"/>
      <c r="V28" s="102"/>
      <c r="W28" s="103"/>
      <c r="X28" s="101"/>
      <c r="Y28" s="93"/>
      <c r="Z28" s="104">
        <v>43482</v>
      </c>
      <c r="AA28" s="105">
        <f t="shared" si="0"/>
        <v>0</v>
      </c>
      <c r="AB28" s="105">
        <f t="shared" si="1"/>
        <v>43482</v>
      </c>
      <c r="AC28" s="105">
        <f t="shared" si="2"/>
        <v>0</v>
      </c>
      <c r="AD28" s="105">
        <f t="shared" si="3"/>
        <v>0</v>
      </c>
      <c r="AE28" s="106"/>
      <c r="AF28" s="106"/>
      <c r="AG28" s="106"/>
      <c r="AH28" s="131"/>
      <c r="AI28" s="130"/>
    </row>
    <row r="29" spans="3:35" s="124" customFormat="1" ht="40.15" customHeight="1" x14ac:dyDescent="0.2">
      <c r="C29" s="87" t="s">
        <v>232</v>
      </c>
      <c r="D29" s="88"/>
      <c r="E29" s="89" t="s">
        <v>746</v>
      </c>
      <c r="F29" s="88"/>
      <c r="G29" s="90" t="s">
        <v>747</v>
      </c>
      <c r="H29" s="91">
        <v>42036</v>
      </c>
      <c r="I29" s="92">
        <v>42094</v>
      </c>
      <c r="J29" s="93" t="s">
        <v>231</v>
      </c>
      <c r="K29" s="94">
        <f t="shared" si="4"/>
        <v>2015</v>
      </c>
      <c r="L29" s="95">
        <v>4000</v>
      </c>
      <c r="M29" s="125">
        <v>0</v>
      </c>
      <c r="N29" s="125">
        <v>1</v>
      </c>
      <c r="O29" s="125">
        <v>1</v>
      </c>
      <c r="P29" s="125">
        <v>0</v>
      </c>
      <c r="Q29" s="126">
        <v>0</v>
      </c>
      <c r="R29" s="98">
        <v>1</v>
      </c>
      <c r="S29" s="131">
        <v>0</v>
      </c>
      <c r="T29" s="100">
        <v>4000</v>
      </c>
      <c r="U29" s="101">
        <v>4000</v>
      </c>
      <c r="V29" s="102">
        <v>4000</v>
      </c>
      <c r="W29" s="103">
        <v>0</v>
      </c>
      <c r="X29" s="101">
        <v>0</v>
      </c>
      <c r="Y29" s="93">
        <v>0</v>
      </c>
      <c r="Z29" s="104">
        <v>400000</v>
      </c>
      <c r="AA29" s="105">
        <f t="shared" si="0"/>
        <v>0</v>
      </c>
      <c r="AB29" s="105">
        <f t="shared" si="1"/>
        <v>0</v>
      </c>
      <c r="AC29" s="105">
        <f t="shared" si="2"/>
        <v>400000</v>
      </c>
      <c r="AD29" s="105">
        <f t="shared" si="3"/>
        <v>0</v>
      </c>
      <c r="AE29" s="106">
        <v>1</v>
      </c>
      <c r="AF29" s="106">
        <v>0.4</v>
      </c>
      <c r="AG29" s="106">
        <v>0.3</v>
      </c>
      <c r="AH29" s="131">
        <v>0.3</v>
      </c>
      <c r="AI29" s="130" t="s">
        <v>748</v>
      </c>
    </row>
    <row r="30" spans="3:35" s="124" customFormat="1" ht="40.15" customHeight="1" x14ac:dyDescent="0.2">
      <c r="C30" s="87" t="s">
        <v>232</v>
      </c>
      <c r="D30" s="88"/>
      <c r="E30" s="89" t="s">
        <v>393</v>
      </c>
      <c r="F30" s="88"/>
      <c r="G30" s="90" t="s">
        <v>749</v>
      </c>
      <c r="H30" s="91">
        <v>42095</v>
      </c>
      <c r="I30" s="92">
        <v>42460</v>
      </c>
      <c r="J30" s="93" t="s">
        <v>231</v>
      </c>
      <c r="K30" s="94">
        <f t="shared" si="4"/>
        <v>2015</v>
      </c>
      <c r="L30" s="95">
        <v>18227</v>
      </c>
      <c r="M30" s="603"/>
      <c r="N30" s="106">
        <v>1</v>
      </c>
      <c r="O30" s="125"/>
      <c r="P30" s="125"/>
      <c r="Q30" s="126"/>
      <c r="R30" s="98">
        <v>1</v>
      </c>
      <c r="S30" s="131"/>
      <c r="T30" s="100"/>
      <c r="U30" s="101"/>
      <c r="V30" s="102"/>
      <c r="W30" s="103"/>
      <c r="X30" s="101"/>
      <c r="Y30" s="93"/>
      <c r="Z30" s="104">
        <v>73062</v>
      </c>
      <c r="AA30" s="105">
        <f t="shared" si="0"/>
        <v>0</v>
      </c>
      <c r="AB30" s="105">
        <f t="shared" si="1"/>
        <v>0</v>
      </c>
      <c r="AC30" s="105">
        <f t="shared" si="2"/>
        <v>54846.542465753424</v>
      </c>
      <c r="AD30" s="105">
        <f t="shared" si="3"/>
        <v>18215.457534246576</v>
      </c>
      <c r="AE30" s="106">
        <v>1</v>
      </c>
      <c r="AF30" s="106">
        <v>0</v>
      </c>
      <c r="AG30" s="106">
        <v>0</v>
      </c>
      <c r="AH30" s="131">
        <v>1</v>
      </c>
      <c r="AI30" s="130"/>
    </row>
    <row r="31" spans="3:35" s="124" customFormat="1" ht="40.15" customHeight="1" x14ac:dyDescent="0.2">
      <c r="C31" s="87" t="s">
        <v>232</v>
      </c>
      <c r="D31" s="88"/>
      <c r="E31" s="89" t="s">
        <v>829</v>
      </c>
      <c r="F31" s="88"/>
      <c r="G31" s="90" t="s">
        <v>749</v>
      </c>
      <c r="H31" s="91">
        <v>42010</v>
      </c>
      <c r="I31" s="92">
        <v>42521</v>
      </c>
      <c r="J31" s="93" t="s">
        <v>231</v>
      </c>
      <c r="K31" s="94">
        <f t="shared" ref="K31" si="6">YEAR(H31)</f>
        <v>2015</v>
      </c>
      <c r="L31" s="95">
        <v>1000</v>
      </c>
      <c r="M31" s="603"/>
      <c r="N31" s="106">
        <v>1</v>
      </c>
      <c r="O31" s="125"/>
      <c r="P31" s="125"/>
      <c r="Q31" s="126"/>
      <c r="R31" s="98">
        <v>1</v>
      </c>
      <c r="S31" s="131"/>
      <c r="T31" s="100"/>
      <c r="U31" s="101"/>
      <c r="V31" s="102">
        <v>1000</v>
      </c>
      <c r="W31" s="103"/>
      <c r="X31" s="101"/>
      <c r="Y31" s="93">
        <v>1000</v>
      </c>
      <c r="Z31" s="104">
        <v>32800</v>
      </c>
      <c r="AA31" s="105">
        <f t="shared" ref="AA31" si="7">Z31-(AB31+AC31+AD31)</f>
        <v>0</v>
      </c>
      <c r="AB31" s="105">
        <f t="shared" ref="AB31" si="8">IF(I31&lt;$C$1,0,IF(H31&gt;$C$1,Z31-(AC31+AD31),(I31-$C$1)/(I31-H31)*Z31-(AC31+AD31)))</f>
        <v>0</v>
      </c>
      <c r="AC31" s="105">
        <f t="shared" ref="AC31" si="9">IF(I31&lt;$D$1,0,IF(H31&gt;$D$1,Z31-AD31,(I31-$D$1)/(I31-H31)*Z31-AD31))</f>
        <v>23043.444227005872</v>
      </c>
      <c r="AD31" s="105">
        <f t="shared" ref="AD31" si="10">IF(I31&lt;$E$1,0,IF(H31&gt;$E$1,Z31,(I31-$E$1)/(I31-H31)*Z31))</f>
        <v>9756.5557729941283</v>
      </c>
      <c r="AE31" s="106">
        <v>1</v>
      </c>
      <c r="AF31" s="106">
        <v>0.42</v>
      </c>
      <c r="AG31" s="106">
        <v>0.3</v>
      </c>
      <c r="AH31" s="131">
        <v>0.27</v>
      </c>
      <c r="AI31" s="130"/>
    </row>
    <row r="32" spans="3:35" s="124" customFormat="1" ht="40.15" customHeight="1" x14ac:dyDescent="0.2">
      <c r="C32" s="87" t="s">
        <v>401</v>
      </c>
      <c r="D32" s="88" t="s">
        <v>402</v>
      </c>
      <c r="E32" s="89" t="s">
        <v>322</v>
      </c>
      <c r="F32" s="88"/>
      <c r="G32" s="90" t="s">
        <v>403</v>
      </c>
      <c r="H32" s="115">
        <v>41275</v>
      </c>
      <c r="I32" s="116">
        <v>41729</v>
      </c>
      <c r="J32" s="93" t="s">
        <v>413</v>
      </c>
      <c r="K32" s="94">
        <f t="shared" si="4"/>
        <v>2013</v>
      </c>
      <c r="L32" s="95">
        <f>8400+6500+4894</f>
        <v>19794</v>
      </c>
      <c r="M32" s="106">
        <f>8400/L32</f>
        <v>0.42437102152167322</v>
      </c>
      <c r="N32" s="106">
        <f>IF(M32="","",1-M32)</f>
        <v>0.57562897847832684</v>
      </c>
      <c r="O32" s="106">
        <v>0</v>
      </c>
      <c r="P32" s="106">
        <v>0</v>
      </c>
      <c r="Q32" s="99">
        <v>1</v>
      </c>
      <c r="R32" s="98">
        <v>1</v>
      </c>
      <c r="S32" s="131">
        <v>0</v>
      </c>
      <c r="T32" s="100">
        <f>262*20</f>
        <v>5240</v>
      </c>
      <c r="U32" s="101">
        <f>8400+(21*250)</f>
        <v>13650</v>
      </c>
      <c r="V32" s="102">
        <f>L32</f>
        <v>19794</v>
      </c>
      <c r="W32" s="103">
        <v>0</v>
      </c>
      <c r="X32" s="101">
        <v>0</v>
      </c>
      <c r="Y32" s="93">
        <v>0</v>
      </c>
      <c r="Z32" s="104">
        <v>774563</v>
      </c>
      <c r="AA32" s="105">
        <f t="shared" si="0"/>
        <v>622721.35462555068</v>
      </c>
      <c r="AB32" s="105">
        <f t="shared" si="1"/>
        <v>151841.64537444935</v>
      </c>
      <c r="AC32" s="105">
        <f t="shared" si="2"/>
        <v>0</v>
      </c>
      <c r="AD32" s="105">
        <f t="shared" si="3"/>
        <v>0</v>
      </c>
      <c r="AE32" s="106">
        <v>1</v>
      </c>
      <c r="AF32" s="106">
        <v>0.2</v>
      </c>
      <c r="AG32" s="106">
        <v>0.22</v>
      </c>
      <c r="AH32" s="131">
        <v>0.57999999999999996</v>
      </c>
      <c r="AI32" s="133" t="s">
        <v>404</v>
      </c>
    </row>
    <row r="33" spans="3:35" s="124" customFormat="1" ht="40.15" customHeight="1" x14ac:dyDescent="0.2">
      <c r="C33" s="87" t="s">
        <v>401</v>
      </c>
      <c r="D33" s="88" t="s">
        <v>402</v>
      </c>
      <c r="E33" s="89" t="s">
        <v>327</v>
      </c>
      <c r="F33" s="88"/>
      <c r="G33" s="90" t="s">
        <v>405</v>
      </c>
      <c r="H33" s="115">
        <v>41275</v>
      </c>
      <c r="I33" s="116">
        <v>41729</v>
      </c>
      <c r="J33" s="93" t="s">
        <v>413</v>
      </c>
      <c r="K33" s="94">
        <f t="shared" si="4"/>
        <v>2013</v>
      </c>
      <c r="L33" s="95"/>
      <c r="M33" s="106"/>
      <c r="N33" s="106"/>
      <c r="O33" s="106"/>
      <c r="P33" s="106"/>
      <c r="Q33" s="99"/>
      <c r="R33" s="98"/>
      <c r="S33" s="131"/>
      <c r="T33" s="100"/>
      <c r="U33" s="101"/>
      <c r="V33" s="102"/>
      <c r="W33" s="103"/>
      <c r="X33" s="101"/>
      <c r="Y33" s="93"/>
      <c r="Z33" s="104">
        <v>515029</v>
      </c>
      <c r="AA33" s="105">
        <f t="shared" si="0"/>
        <v>414065.16519823787</v>
      </c>
      <c r="AB33" s="105">
        <f t="shared" si="1"/>
        <v>100963.83480176212</v>
      </c>
      <c r="AC33" s="105">
        <f t="shared" si="2"/>
        <v>0</v>
      </c>
      <c r="AD33" s="105">
        <f t="shared" si="3"/>
        <v>0</v>
      </c>
      <c r="AE33" s="106"/>
      <c r="AF33" s="106"/>
      <c r="AG33" s="106"/>
      <c r="AH33" s="131"/>
      <c r="AI33" s="133"/>
    </row>
    <row r="34" spans="3:35" s="124" customFormat="1" ht="40.15" customHeight="1" x14ac:dyDescent="0.2">
      <c r="C34" s="87" t="s">
        <v>401</v>
      </c>
      <c r="D34" s="88" t="s">
        <v>402</v>
      </c>
      <c r="E34" s="89" t="s">
        <v>330</v>
      </c>
      <c r="F34" s="88"/>
      <c r="G34" s="90" t="s">
        <v>405</v>
      </c>
      <c r="H34" s="115">
        <v>41275</v>
      </c>
      <c r="I34" s="116">
        <v>41729</v>
      </c>
      <c r="J34" s="93" t="s">
        <v>413</v>
      </c>
      <c r="K34" s="94">
        <f t="shared" si="4"/>
        <v>2013</v>
      </c>
      <c r="L34" s="95"/>
      <c r="M34" s="106"/>
      <c r="N34" s="106"/>
      <c r="O34" s="106"/>
      <c r="P34" s="106"/>
      <c r="Q34" s="99"/>
      <c r="R34" s="98"/>
      <c r="S34" s="131"/>
      <c r="T34" s="100"/>
      <c r="U34" s="101"/>
      <c r="V34" s="102"/>
      <c r="W34" s="103"/>
      <c r="X34" s="101"/>
      <c r="Y34" s="93"/>
      <c r="Z34" s="104">
        <v>191487</v>
      </c>
      <c r="AA34" s="105">
        <f t="shared" si="0"/>
        <v>153948.79955947137</v>
      </c>
      <c r="AB34" s="105">
        <f t="shared" si="1"/>
        <v>37538.200440528635</v>
      </c>
      <c r="AC34" s="105">
        <f t="shared" si="2"/>
        <v>0</v>
      </c>
      <c r="AD34" s="105">
        <f t="shared" si="3"/>
        <v>0</v>
      </c>
      <c r="AE34" s="106"/>
      <c r="AF34" s="106"/>
      <c r="AG34" s="106"/>
      <c r="AH34" s="131"/>
      <c r="AI34" s="133"/>
    </row>
    <row r="35" spans="3:35" s="124" customFormat="1" ht="40.15" customHeight="1" x14ac:dyDescent="0.2">
      <c r="C35" s="87" t="s">
        <v>401</v>
      </c>
      <c r="D35" s="88" t="s">
        <v>402</v>
      </c>
      <c r="E35" s="89" t="s">
        <v>662</v>
      </c>
      <c r="F35" s="88"/>
      <c r="G35" s="90" t="s">
        <v>599</v>
      </c>
      <c r="H35" s="115">
        <v>41760</v>
      </c>
      <c r="I35" s="116">
        <v>42155</v>
      </c>
      <c r="J35" s="93" t="s">
        <v>413</v>
      </c>
      <c r="K35" s="94">
        <f t="shared" ref="K35" si="11">YEAR(H35)</f>
        <v>2014</v>
      </c>
      <c r="L35" s="95">
        <v>23013</v>
      </c>
      <c r="M35" s="106">
        <f>9543/L35</f>
        <v>0.41467865988788943</v>
      </c>
      <c r="N35" s="106">
        <f t="shared" ref="N35" si="12">IF(M35="","",1-M35)</f>
        <v>0.58532134011211057</v>
      </c>
      <c r="O35" s="106">
        <v>0</v>
      </c>
      <c r="P35" s="106">
        <v>0</v>
      </c>
      <c r="Q35" s="99">
        <v>1</v>
      </c>
      <c r="R35" s="98">
        <v>1</v>
      </c>
      <c r="S35" s="131">
        <v>0</v>
      </c>
      <c r="T35" s="100">
        <v>23013</v>
      </c>
      <c r="U35" s="101">
        <v>23013</v>
      </c>
      <c r="V35" s="102">
        <f>L35</f>
        <v>23013</v>
      </c>
      <c r="W35" s="103">
        <v>0</v>
      </c>
      <c r="X35" s="101">
        <v>0</v>
      </c>
      <c r="Y35" s="93">
        <v>0</v>
      </c>
      <c r="Z35" s="104">
        <v>711973</v>
      </c>
      <c r="AA35" s="105">
        <f t="shared" si="0"/>
        <v>0</v>
      </c>
      <c r="AB35" s="105">
        <f t="shared" si="1"/>
        <v>439801.04303797468</v>
      </c>
      <c r="AC35" s="105">
        <f t="shared" si="2"/>
        <v>272171.95696202532</v>
      </c>
      <c r="AD35" s="105">
        <f t="shared" si="3"/>
        <v>0</v>
      </c>
      <c r="AE35" s="106">
        <v>1</v>
      </c>
      <c r="AF35" s="106">
        <v>0.16</v>
      </c>
      <c r="AG35" s="106">
        <v>0.09</v>
      </c>
      <c r="AH35" s="131">
        <v>0.75</v>
      </c>
      <c r="AI35" s="133" t="s">
        <v>600</v>
      </c>
    </row>
    <row r="36" spans="3:35" s="124" customFormat="1" ht="40.15" customHeight="1" x14ac:dyDescent="0.2">
      <c r="C36" s="622" t="s">
        <v>401</v>
      </c>
      <c r="D36" s="632" t="s">
        <v>275</v>
      </c>
      <c r="E36" s="633" t="s">
        <v>330</v>
      </c>
      <c r="F36" s="632"/>
      <c r="G36" s="638" t="s">
        <v>757</v>
      </c>
      <c r="H36" s="636" t="s">
        <v>758</v>
      </c>
      <c r="I36" s="637" t="s">
        <v>759</v>
      </c>
      <c r="J36" s="629" t="s">
        <v>231</v>
      </c>
      <c r="K36" s="624">
        <v>2015</v>
      </c>
      <c r="L36" s="95">
        <v>4669</v>
      </c>
      <c r="M36" s="106"/>
      <c r="N36" s="625">
        <v>1</v>
      </c>
      <c r="O36" s="625">
        <v>0</v>
      </c>
      <c r="P36" s="625"/>
      <c r="Q36" s="626"/>
      <c r="R36" s="627">
        <v>1</v>
      </c>
      <c r="S36" s="628">
        <v>0</v>
      </c>
      <c r="T36" s="634">
        <v>4669</v>
      </c>
      <c r="U36" s="629">
        <v>4669</v>
      </c>
      <c r="V36" s="635">
        <v>4669</v>
      </c>
      <c r="W36" s="623"/>
      <c r="X36" s="629"/>
      <c r="Y36" s="630"/>
      <c r="Z36" s="631">
        <v>86864</v>
      </c>
      <c r="AA36" s="105">
        <f t="shared" si="0"/>
        <v>0</v>
      </c>
      <c r="AB36" s="105">
        <f t="shared" si="1"/>
        <v>0</v>
      </c>
      <c r="AC36" s="105">
        <f t="shared" si="2"/>
        <v>0</v>
      </c>
      <c r="AD36" s="105">
        <f t="shared" si="3"/>
        <v>86864</v>
      </c>
      <c r="AE36" s="106">
        <v>1</v>
      </c>
      <c r="AF36" s="106"/>
      <c r="AG36" s="106"/>
      <c r="AH36" s="131"/>
      <c r="AI36" s="133"/>
    </row>
    <row r="37" spans="3:35" s="124" customFormat="1" ht="40.15" customHeight="1" x14ac:dyDescent="0.2">
      <c r="C37" s="87" t="s">
        <v>401</v>
      </c>
      <c r="D37" s="88" t="s">
        <v>234</v>
      </c>
      <c r="E37" s="89" t="s">
        <v>322</v>
      </c>
      <c r="F37" s="88"/>
      <c r="G37" s="619" t="s">
        <v>756</v>
      </c>
      <c r="H37" s="616">
        <v>42217</v>
      </c>
      <c r="I37" s="617">
        <v>42369</v>
      </c>
      <c r="J37" s="618" t="s">
        <v>231</v>
      </c>
      <c r="K37" s="94">
        <f t="shared" si="4"/>
        <v>2015</v>
      </c>
      <c r="L37" s="606">
        <v>4735</v>
      </c>
      <c r="M37" s="614"/>
      <c r="N37" s="614">
        <v>1</v>
      </c>
      <c r="O37" s="614"/>
      <c r="P37" s="614"/>
      <c r="Q37" s="615">
        <v>1</v>
      </c>
      <c r="R37" s="607">
        <v>1</v>
      </c>
      <c r="S37" s="608"/>
      <c r="T37" s="609">
        <v>4735</v>
      </c>
      <c r="U37" s="610">
        <v>4735</v>
      </c>
      <c r="V37" s="611">
        <v>4735</v>
      </c>
      <c r="W37" s="612"/>
      <c r="X37" s="610"/>
      <c r="Y37" s="605"/>
      <c r="Z37" s="613">
        <v>107174</v>
      </c>
      <c r="AA37" s="105">
        <f t="shared" si="0"/>
        <v>0</v>
      </c>
      <c r="AB37" s="105">
        <f t="shared" si="1"/>
        <v>0</v>
      </c>
      <c r="AC37" s="105">
        <f t="shared" si="2"/>
        <v>107174</v>
      </c>
      <c r="AD37" s="105">
        <f t="shared" si="3"/>
        <v>0</v>
      </c>
      <c r="AE37" s="620">
        <v>1</v>
      </c>
      <c r="AF37" s="620">
        <v>0.31829548211319908</v>
      </c>
      <c r="AG37" s="620">
        <v>0.10458693339802565</v>
      </c>
      <c r="AH37" s="621">
        <v>0.5768656577154907</v>
      </c>
      <c r="AI37" s="133"/>
    </row>
    <row r="38" spans="3:35" s="124" customFormat="1" ht="40.15" customHeight="1" x14ac:dyDescent="0.2">
      <c r="C38" s="87" t="s">
        <v>406</v>
      </c>
      <c r="D38" s="88" t="s">
        <v>234</v>
      </c>
      <c r="E38" s="89" t="s">
        <v>323</v>
      </c>
      <c r="F38" s="88"/>
      <c r="G38" s="146" t="s">
        <v>743</v>
      </c>
      <c r="H38" s="135">
        <v>42005</v>
      </c>
      <c r="I38" s="136">
        <v>42277</v>
      </c>
      <c r="J38" s="93" t="s">
        <v>231</v>
      </c>
      <c r="K38" s="94">
        <f t="shared" si="4"/>
        <v>2015</v>
      </c>
      <c r="L38" s="598">
        <v>3088</v>
      </c>
      <c r="M38" s="151">
        <v>0</v>
      </c>
      <c r="N38" s="151">
        <f t="shared" ref="N38:N42" si="13">IF(M38="","",1-M38)</f>
        <v>1</v>
      </c>
      <c r="O38" s="151">
        <v>1</v>
      </c>
      <c r="P38" s="151">
        <v>0</v>
      </c>
      <c r="Q38" s="152">
        <v>0</v>
      </c>
      <c r="R38" s="153">
        <v>1</v>
      </c>
      <c r="S38" s="161">
        <v>0</v>
      </c>
      <c r="T38" s="599">
        <v>0</v>
      </c>
      <c r="U38" s="600">
        <v>0</v>
      </c>
      <c r="V38" s="601">
        <v>3088</v>
      </c>
      <c r="W38" s="602">
        <v>0</v>
      </c>
      <c r="X38" s="600">
        <v>0</v>
      </c>
      <c r="Y38" s="149">
        <v>0</v>
      </c>
      <c r="Z38" s="159">
        <v>75653</v>
      </c>
      <c r="AA38" s="105">
        <f t="shared" si="0"/>
        <v>0</v>
      </c>
      <c r="AB38" s="105">
        <f t="shared" si="1"/>
        <v>0</v>
      </c>
      <c r="AC38" s="105">
        <f t="shared" si="2"/>
        <v>75653</v>
      </c>
      <c r="AD38" s="105">
        <f t="shared" si="3"/>
        <v>0</v>
      </c>
      <c r="AE38" s="106"/>
      <c r="AF38" s="106"/>
      <c r="AG38" s="106"/>
      <c r="AH38" s="131"/>
      <c r="AI38" s="130" t="s">
        <v>744</v>
      </c>
    </row>
    <row r="39" spans="3:35" s="124" customFormat="1" ht="40.15" customHeight="1" x14ac:dyDescent="0.2">
      <c r="C39" s="87" t="s">
        <v>407</v>
      </c>
      <c r="D39" s="88" t="s">
        <v>284</v>
      </c>
      <c r="E39" s="89" t="s">
        <v>322</v>
      </c>
      <c r="F39" s="88"/>
      <c r="G39" s="90" t="s">
        <v>408</v>
      </c>
      <c r="H39" s="115">
        <v>41426</v>
      </c>
      <c r="I39" s="116">
        <v>41698</v>
      </c>
      <c r="J39" s="93" t="s">
        <v>413</v>
      </c>
      <c r="K39" s="94">
        <f t="shared" si="4"/>
        <v>2013</v>
      </c>
      <c r="L39" s="117">
        <v>9566</v>
      </c>
      <c r="M39" s="106">
        <v>0.86</v>
      </c>
      <c r="N39" s="106">
        <f t="shared" si="13"/>
        <v>0.14000000000000001</v>
      </c>
      <c r="O39" s="106">
        <v>0.89</v>
      </c>
      <c r="P39" s="106">
        <v>0</v>
      </c>
      <c r="Q39" s="99">
        <v>0.11</v>
      </c>
      <c r="R39" s="98">
        <v>1</v>
      </c>
      <c r="S39" s="131">
        <v>0</v>
      </c>
      <c r="T39" s="118">
        <v>1905</v>
      </c>
      <c r="U39" s="119">
        <v>9566</v>
      </c>
      <c r="V39" s="120">
        <v>9566</v>
      </c>
      <c r="W39" s="134">
        <v>0</v>
      </c>
      <c r="X39" s="101">
        <v>0</v>
      </c>
      <c r="Y39" s="93">
        <v>0</v>
      </c>
      <c r="Z39" s="104">
        <v>264760</v>
      </c>
      <c r="AA39" s="105">
        <f t="shared" si="0"/>
        <v>208303.82352941178</v>
      </c>
      <c r="AB39" s="105">
        <f t="shared" si="1"/>
        <v>56456.176470588231</v>
      </c>
      <c r="AC39" s="105">
        <f t="shared" si="2"/>
        <v>0</v>
      </c>
      <c r="AD39" s="105">
        <f t="shared" si="3"/>
        <v>0</v>
      </c>
      <c r="AE39" s="106">
        <v>0.8</v>
      </c>
      <c r="AF39" s="106">
        <v>0.13</v>
      </c>
      <c r="AG39" s="106">
        <v>0.14000000000000001</v>
      </c>
      <c r="AH39" s="131">
        <v>0.73</v>
      </c>
      <c r="AI39" s="130"/>
    </row>
    <row r="40" spans="3:35" s="124" customFormat="1" ht="40.15" customHeight="1" x14ac:dyDescent="0.2">
      <c r="C40" s="87" t="s">
        <v>407</v>
      </c>
      <c r="D40" s="88" t="s">
        <v>284</v>
      </c>
      <c r="E40" s="89" t="s">
        <v>467</v>
      </c>
      <c r="F40" s="88"/>
      <c r="G40" s="90" t="s">
        <v>468</v>
      </c>
      <c r="H40" s="115">
        <v>41640</v>
      </c>
      <c r="I40" s="116">
        <v>42004</v>
      </c>
      <c r="J40" s="93" t="s">
        <v>413</v>
      </c>
      <c r="K40" s="94">
        <f t="shared" si="4"/>
        <v>2014</v>
      </c>
      <c r="L40" s="117"/>
      <c r="M40" s="106">
        <v>0</v>
      </c>
      <c r="N40" s="106">
        <f t="shared" si="13"/>
        <v>1</v>
      </c>
      <c r="O40" s="106">
        <v>0.89</v>
      </c>
      <c r="P40" s="106">
        <v>0</v>
      </c>
      <c r="Q40" s="99">
        <v>0.11</v>
      </c>
      <c r="R40" s="98">
        <v>1</v>
      </c>
      <c r="S40" s="131">
        <v>0</v>
      </c>
      <c r="T40" s="118">
        <v>1905</v>
      </c>
      <c r="U40" s="119">
        <v>9566</v>
      </c>
      <c r="V40" s="120">
        <v>9566</v>
      </c>
      <c r="W40" s="134">
        <v>0</v>
      </c>
      <c r="X40" s="101">
        <v>0</v>
      </c>
      <c r="Y40" s="93">
        <v>0</v>
      </c>
      <c r="Z40" s="104">
        <v>17000</v>
      </c>
      <c r="AA40" s="105">
        <f t="shared" si="0"/>
        <v>0</v>
      </c>
      <c r="AB40" s="105">
        <f t="shared" si="1"/>
        <v>17000</v>
      </c>
      <c r="AC40" s="105">
        <f t="shared" si="2"/>
        <v>0</v>
      </c>
      <c r="AD40" s="105">
        <f t="shared" si="3"/>
        <v>0</v>
      </c>
      <c r="AE40" s="106"/>
      <c r="AF40" s="106"/>
      <c r="AG40" s="106"/>
      <c r="AH40" s="131"/>
      <c r="AI40" s="130"/>
    </row>
    <row r="41" spans="3:35" s="124" customFormat="1" ht="40.15" customHeight="1" x14ac:dyDescent="0.2">
      <c r="C41" s="87" t="s">
        <v>407</v>
      </c>
      <c r="D41" s="88" t="s">
        <v>284</v>
      </c>
      <c r="E41" s="89" t="s">
        <v>324</v>
      </c>
      <c r="F41" s="88"/>
      <c r="G41" s="90" t="s">
        <v>469</v>
      </c>
      <c r="H41" s="115">
        <v>41640</v>
      </c>
      <c r="I41" s="116">
        <v>42185</v>
      </c>
      <c r="J41" s="93" t="s">
        <v>413</v>
      </c>
      <c r="K41" s="94">
        <f t="shared" si="4"/>
        <v>2014</v>
      </c>
      <c r="L41" s="117">
        <v>8010</v>
      </c>
      <c r="M41" s="106">
        <v>0.93</v>
      </c>
      <c r="N41" s="106">
        <f t="shared" si="13"/>
        <v>6.9999999999999951E-2</v>
      </c>
      <c r="O41" s="509">
        <v>0.1</v>
      </c>
      <c r="P41" s="509">
        <v>0.9</v>
      </c>
      <c r="Q41" s="510">
        <v>0</v>
      </c>
      <c r="R41" s="506">
        <v>1</v>
      </c>
      <c r="S41" s="507">
        <v>0</v>
      </c>
      <c r="T41" s="511">
        <v>8010</v>
      </c>
      <c r="U41" s="512">
        <v>8010</v>
      </c>
      <c r="V41" s="513">
        <v>8010</v>
      </c>
      <c r="W41" s="514">
        <v>0</v>
      </c>
      <c r="X41" s="515">
        <v>0</v>
      </c>
      <c r="Y41" s="505">
        <v>0</v>
      </c>
      <c r="Z41" s="508">
        <v>102308</v>
      </c>
      <c r="AA41" s="105">
        <f t="shared" si="0"/>
        <v>0</v>
      </c>
      <c r="AB41" s="105">
        <f t="shared" si="1"/>
        <v>68330.480733944947</v>
      </c>
      <c r="AC41" s="105">
        <f t="shared" si="2"/>
        <v>33977.519266055046</v>
      </c>
      <c r="AD41" s="105">
        <f t="shared" si="3"/>
        <v>0</v>
      </c>
      <c r="AE41" s="649"/>
      <c r="AF41" s="649"/>
      <c r="AG41" s="649"/>
      <c r="AH41" s="650"/>
      <c r="AI41" s="130"/>
    </row>
    <row r="42" spans="3:35" s="124" customFormat="1" ht="40.15" customHeight="1" x14ac:dyDescent="0.2">
      <c r="C42" s="87" t="s">
        <v>407</v>
      </c>
      <c r="D42" s="88" t="s">
        <v>284</v>
      </c>
      <c r="E42" s="89" t="s">
        <v>470</v>
      </c>
      <c r="F42" s="88"/>
      <c r="G42" s="90" t="s">
        <v>471</v>
      </c>
      <c r="H42" s="115">
        <v>41640</v>
      </c>
      <c r="I42" s="116">
        <v>41891</v>
      </c>
      <c r="J42" s="93" t="s">
        <v>413</v>
      </c>
      <c r="K42" s="94">
        <f t="shared" si="4"/>
        <v>2014</v>
      </c>
      <c r="L42" s="117"/>
      <c r="M42" s="106">
        <v>0.47</v>
      </c>
      <c r="N42" s="106">
        <f t="shared" si="13"/>
        <v>0.53</v>
      </c>
      <c r="O42" s="106"/>
      <c r="P42" s="106"/>
      <c r="Q42" s="99"/>
      <c r="R42" s="98"/>
      <c r="S42" s="131"/>
      <c r="T42" s="118"/>
      <c r="U42" s="119"/>
      <c r="V42" s="120"/>
      <c r="W42" s="134"/>
      <c r="X42" s="101"/>
      <c r="Y42" s="93"/>
      <c r="Z42" s="104">
        <v>80400</v>
      </c>
      <c r="AA42" s="105">
        <f t="shared" si="0"/>
        <v>0</v>
      </c>
      <c r="AB42" s="105">
        <f t="shared" si="1"/>
        <v>80400</v>
      </c>
      <c r="AC42" s="105">
        <f t="shared" si="2"/>
        <v>0</v>
      </c>
      <c r="AD42" s="105">
        <f t="shared" si="3"/>
        <v>0</v>
      </c>
      <c r="AE42" s="649"/>
      <c r="AF42" s="649"/>
      <c r="AG42" s="649"/>
      <c r="AH42" s="650"/>
      <c r="AI42" s="130"/>
    </row>
    <row r="43" spans="3:35" s="124" customFormat="1" ht="40.15" customHeight="1" x14ac:dyDescent="0.2">
      <c r="C43" s="87" t="s">
        <v>407</v>
      </c>
      <c r="D43" s="88"/>
      <c r="E43" s="89" t="s">
        <v>253</v>
      </c>
      <c r="F43" s="88"/>
      <c r="G43" s="90" t="s">
        <v>622</v>
      </c>
      <c r="H43" s="115">
        <v>41822</v>
      </c>
      <c r="I43" s="648">
        <v>42063</v>
      </c>
      <c r="J43" s="93" t="s">
        <v>413</v>
      </c>
      <c r="K43" s="94">
        <f t="shared" si="4"/>
        <v>2014</v>
      </c>
      <c r="L43" s="117">
        <v>10837</v>
      </c>
      <c r="M43" s="106">
        <f>4695/L43</f>
        <v>0.43323798099104921</v>
      </c>
      <c r="N43" s="106">
        <v>0.56999999999999995</v>
      </c>
      <c r="O43" s="106">
        <f>(736+1843)/L43</f>
        <v>0.23798099104918335</v>
      </c>
      <c r="P43" s="106">
        <v>0</v>
      </c>
      <c r="Q43" s="99">
        <v>0.76</v>
      </c>
      <c r="R43" s="98">
        <v>1</v>
      </c>
      <c r="S43" s="131">
        <v>0</v>
      </c>
      <c r="T43" s="118">
        <v>10837</v>
      </c>
      <c r="U43" s="119">
        <v>10837</v>
      </c>
      <c r="V43" s="120">
        <v>10837</v>
      </c>
      <c r="W43" s="134">
        <v>0</v>
      </c>
      <c r="X43" s="101">
        <v>0</v>
      </c>
      <c r="Y43" s="93">
        <v>0</v>
      </c>
      <c r="Z43" s="104">
        <v>455030</v>
      </c>
      <c r="AA43" s="105">
        <f t="shared" si="0"/>
        <v>0</v>
      </c>
      <c r="AB43" s="105">
        <f t="shared" si="1"/>
        <v>343632.61410788383</v>
      </c>
      <c r="AC43" s="105">
        <f t="shared" si="2"/>
        <v>111397.38589211617</v>
      </c>
      <c r="AD43" s="105">
        <f t="shared" si="3"/>
        <v>0</v>
      </c>
      <c r="AE43" s="106">
        <v>1</v>
      </c>
      <c r="AF43" s="106">
        <v>7.0000000000000007E-2</v>
      </c>
      <c r="AG43" s="106">
        <v>0.18</v>
      </c>
      <c r="AH43" s="131">
        <v>0.75</v>
      </c>
      <c r="AI43" s="130"/>
    </row>
    <row r="44" spans="3:35" s="124" customFormat="1" ht="40.15" customHeight="1" x14ac:dyDescent="0.2">
      <c r="C44" s="87" t="s">
        <v>407</v>
      </c>
      <c r="D44" s="88" t="s">
        <v>284</v>
      </c>
      <c r="E44" s="89" t="s">
        <v>322</v>
      </c>
      <c r="F44" s="88"/>
      <c r="G44" s="529" t="s">
        <v>725</v>
      </c>
      <c r="H44" s="521">
        <v>41821</v>
      </c>
      <c r="I44" s="522">
        <v>42247</v>
      </c>
      <c r="J44" s="516" t="s">
        <v>413</v>
      </c>
      <c r="K44" s="94">
        <f t="shared" si="4"/>
        <v>2014</v>
      </c>
      <c r="L44" s="523">
        <v>13266</v>
      </c>
      <c r="M44" s="520">
        <v>0.75</v>
      </c>
      <c r="N44" s="520">
        <v>0.25</v>
      </c>
      <c r="O44" s="520">
        <v>0.25</v>
      </c>
      <c r="P44" s="520">
        <v>0.75</v>
      </c>
      <c r="Q44" s="524">
        <v>0</v>
      </c>
      <c r="R44" s="517">
        <v>1</v>
      </c>
      <c r="S44" s="518">
        <v>0</v>
      </c>
      <c r="T44" s="525">
        <v>13266</v>
      </c>
      <c r="U44" s="526">
        <v>13266</v>
      </c>
      <c r="V44" s="527">
        <v>13266</v>
      </c>
      <c r="W44" s="528">
        <v>0</v>
      </c>
      <c r="X44" s="530">
        <v>0</v>
      </c>
      <c r="Y44" s="516">
        <v>0</v>
      </c>
      <c r="Z44" s="519">
        <v>419947</v>
      </c>
      <c r="AA44" s="105">
        <f t="shared" si="0"/>
        <v>0</v>
      </c>
      <c r="AB44" s="105">
        <f t="shared" si="1"/>
        <v>180399.7676056338</v>
      </c>
      <c r="AC44" s="105">
        <f t="shared" si="2"/>
        <v>239547.2323943662</v>
      </c>
      <c r="AD44" s="105">
        <f t="shared" si="3"/>
        <v>0</v>
      </c>
      <c r="AE44" s="106">
        <v>1</v>
      </c>
      <c r="AF44" s="106">
        <v>7.0000000000000007E-2</v>
      </c>
      <c r="AG44" s="106">
        <v>0.18</v>
      </c>
      <c r="AH44" s="131">
        <v>0.75</v>
      </c>
      <c r="AI44" s="130"/>
    </row>
    <row r="45" spans="3:35" s="124" customFormat="1" ht="40.15" customHeight="1" x14ac:dyDescent="0.2">
      <c r="C45" s="87" t="s">
        <v>407</v>
      </c>
      <c r="D45" s="88" t="s">
        <v>284</v>
      </c>
      <c r="E45" s="89" t="s">
        <v>322</v>
      </c>
      <c r="F45" s="88"/>
      <c r="G45" s="529" t="s">
        <v>875</v>
      </c>
      <c r="H45" s="531">
        <v>42248</v>
      </c>
      <c r="I45" s="522">
        <v>42613</v>
      </c>
      <c r="J45" s="532" t="s">
        <v>231</v>
      </c>
      <c r="K45" s="94">
        <f t="shared" si="4"/>
        <v>2015</v>
      </c>
      <c r="L45" s="536">
        <v>16137</v>
      </c>
      <c r="M45" s="535">
        <v>0.55000000000000004</v>
      </c>
      <c r="N45" s="535">
        <v>0.45</v>
      </c>
      <c r="O45" s="535">
        <v>0.5</v>
      </c>
      <c r="P45" s="535">
        <v>0.5</v>
      </c>
      <c r="Q45" s="537"/>
      <c r="R45" s="533">
        <v>1</v>
      </c>
      <c r="S45" s="534"/>
      <c r="T45" s="538"/>
      <c r="U45" s="539"/>
      <c r="V45" s="540"/>
      <c r="W45" s="541"/>
      <c r="X45" s="542"/>
      <c r="Y45" s="532"/>
      <c r="Z45" s="519">
        <v>279007</v>
      </c>
      <c r="AA45" s="105">
        <f t="shared" si="0"/>
        <v>0</v>
      </c>
      <c r="AB45" s="105">
        <f t="shared" si="1"/>
        <v>0</v>
      </c>
      <c r="AC45" s="105">
        <f t="shared" si="2"/>
        <v>92492.731506849319</v>
      </c>
      <c r="AD45" s="105">
        <f t="shared" si="3"/>
        <v>186514.26849315068</v>
      </c>
      <c r="AE45" s="106"/>
      <c r="AF45" s="106">
        <v>0.1</v>
      </c>
      <c r="AG45" s="106">
        <v>0.45</v>
      </c>
      <c r="AH45" s="131">
        <v>0.45</v>
      </c>
      <c r="AI45" s="130"/>
    </row>
    <row r="46" spans="3:35" s="124" customFormat="1" ht="40.15" customHeight="1" x14ac:dyDescent="0.2">
      <c r="C46" s="87" t="s">
        <v>407</v>
      </c>
      <c r="D46" s="88"/>
      <c r="E46" s="89" t="s">
        <v>324</v>
      </c>
      <c r="F46" s="88"/>
      <c r="G46" s="529" t="s">
        <v>726</v>
      </c>
      <c r="H46" s="531">
        <v>42008</v>
      </c>
      <c r="I46" s="116">
        <v>42460</v>
      </c>
      <c r="J46" s="93" t="s">
        <v>231</v>
      </c>
      <c r="K46" s="94">
        <f t="shared" ref="K46" si="14">YEAR(H46)</f>
        <v>2015</v>
      </c>
      <c r="L46" s="536">
        <v>1140</v>
      </c>
      <c r="M46" s="535">
        <v>0</v>
      </c>
      <c r="N46" s="535">
        <v>1</v>
      </c>
      <c r="O46" s="535">
        <v>1</v>
      </c>
      <c r="P46" s="535">
        <v>0</v>
      </c>
      <c r="Q46" s="537">
        <v>0</v>
      </c>
      <c r="R46" s="533">
        <v>1</v>
      </c>
      <c r="S46" s="534">
        <v>0</v>
      </c>
      <c r="T46" s="538">
        <v>1140</v>
      </c>
      <c r="U46" s="539">
        <v>1140</v>
      </c>
      <c r="V46" s="540">
        <v>1140</v>
      </c>
      <c r="W46" s="541">
        <v>0</v>
      </c>
      <c r="X46" s="542">
        <v>0</v>
      </c>
      <c r="Y46" s="532">
        <v>0</v>
      </c>
      <c r="Z46" s="104">
        <v>236184</v>
      </c>
      <c r="AA46" s="105">
        <f t="shared" si="0"/>
        <v>0</v>
      </c>
      <c r="AB46" s="105">
        <f t="shared" si="1"/>
        <v>0</v>
      </c>
      <c r="AC46" s="105">
        <f t="shared" si="2"/>
        <v>188633.6814159292</v>
      </c>
      <c r="AD46" s="105">
        <f t="shared" si="3"/>
        <v>47550.318584070796</v>
      </c>
      <c r="AE46" s="106">
        <v>1</v>
      </c>
      <c r="AF46" s="106">
        <v>7.0000000000000007E-2</v>
      </c>
      <c r="AG46" s="106">
        <v>0.18</v>
      </c>
      <c r="AH46" s="131">
        <v>0.75</v>
      </c>
      <c r="AI46" s="130"/>
    </row>
    <row r="47" spans="3:35" s="124" customFormat="1" ht="40.15" customHeight="1" x14ac:dyDescent="0.2">
      <c r="C47" s="87" t="s">
        <v>275</v>
      </c>
      <c r="D47" s="88"/>
      <c r="E47" s="89" t="s">
        <v>253</v>
      </c>
      <c r="F47" s="88"/>
      <c r="G47" s="90" t="s">
        <v>397</v>
      </c>
      <c r="H47" s="115">
        <v>41632</v>
      </c>
      <c r="I47" s="116">
        <v>41943</v>
      </c>
      <c r="J47" s="93" t="s">
        <v>413</v>
      </c>
      <c r="K47" s="94">
        <f t="shared" si="4"/>
        <v>2013</v>
      </c>
      <c r="L47" s="117">
        <v>6184</v>
      </c>
      <c r="M47" s="106">
        <v>0</v>
      </c>
      <c r="N47" s="106">
        <f>IF(M47="","",1-M47)</f>
        <v>1</v>
      </c>
      <c r="O47" s="106">
        <v>0</v>
      </c>
      <c r="P47" s="106">
        <v>0</v>
      </c>
      <c r="Q47" s="99">
        <v>1</v>
      </c>
      <c r="R47" s="98">
        <v>1</v>
      </c>
      <c r="S47" s="131">
        <v>0</v>
      </c>
      <c r="T47" s="118">
        <v>3538</v>
      </c>
      <c r="U47" s="119">
        <v>2913</v>
      </c>
      <c r="V47" s="120">
        <v>2238</v>
      </c>
      <c r="W47" s="134">
        <v>0</v>
      </c>
      <c r="X47" s="101">
        <v>0</v>
      </c>
      <c r="Y47" s="93">
        <v>0</v>
      </c>
      <c r="Z47" s="104">
        <v>306018</v>
      </c>
      <c r="AA47" s="105">
        <f t="shared" si="0"/>
        <v>7871.8456591639551</v>
      </c>
      <c r="AB47" s="105">
        <f t="shared" si="1"/>
        <v>298146.15434083604</v>
      </c>
      <c r="AC47" s="105">
        <f t="shared" si="2"/>
        <v>0</v>
      </c>
      <c r="AD47" s="105">
        <f t="shared" si="3"/>
        <v>0</v>
      </c>
      <c r="AE47" s="106">
        <v>1</v>
      </c>
      <c r="AF47" s="106">
        <v>0.42000000000000004</v>
      </c>
      <c r="AG47" s="106">
        <v>0.24</v>
      </c>
      <c r="AH47" s="131">
        <v>0.34</v>
      </c>
      <c r="AI47" s="130"/>
    </row>
    <row r="48" spans="3:35" s="124" customFormat="1" ht="40.15" customHeight="1" x14ac:dyDescent="0.2">
      <c r="C48" s="87" t="s">
        <v>275</v>
      </c>
      <c r="D48" s="88"/>
      <c r="E48" s="89" t="s">
        <v>253</v>
      </c>
      <c r="F48" s="88"/>
      <c r="G48" s="90" t="s">
        <v>885</v>
      </c>
      <c r="H48" s="115">
        <v>42213</v>
      </c>
      <c r="I48" s="116">
        <v>42456</v>
      </c>
      <c r="J48" s="93" t="s">
        <v>231</v>
      </c>
      <c r="K48" s="94">
        <f t="shared" ref="K48" si="15">YEAR(H48)</f>
        <v>2015</v>
      </c>
      <c r="L48" s="117">
        <v>3225</v>
      </c>
      <c r="M48" s="106">
        <v>0</v>
      </c>
      <c r="N48" s="106">
        <v>1</v>
      </c>
      <c r="O48" s="106"/>
      <c r="P48" s="106"/>
      <c r="Q48" s="99"/>
      <c r="R48" s="98"/>
      <c r="S48" s="131"/>
      <c r="T48" s="118"/>
      <c r="U48" s="119"/>
      <c r="V48" s="120"/>
      <c r="W48" s="134"/>
      <c r="X48" s="101"/>
      <c r="Y48" s="93"/>
      <c r="Z48" s="104">
        <v>169137.76881720431</v>
      </c>
      <c r="AA48" s="105">
        <f t="shared" si="0"/>
        <v>0</v>
      </c>
      <c r="AB48" s="105">
        <f t="shared" si="1"/>
        <v>0</v>
      </c>
      <c r="AC48" s="105">
        <f t="shared" si="2"/>
        <v>108582.27133943982</v>
      </c>
      <c r="AD48" s="105">
        <f t="shared" si="3"/>
        <v>60555.497477764504</v>
      </c>
      <c r="AE48" s="106">
        <v>1</v>
      </c>
      <c r="AF48" s="106">
        <v>0.42000000000000004</v>
      </c>
      <c r="AG48" s="106">
        <v>0.24</v>
      </c>
      <c r="AH48" s="131">
        <v>0.34</v>
      </c>
      <c r="AI48" s="130"/>
    </row>
    <row r="49" spans="3:35" s="124" customFormat="1" ht="40.15" customHeight="1" x14ac:dyDescent="0.2">
      <c r="C49" s="397" t="s">
        <v>721</v>
      </c>
      <c r="D49" s="88"/>
      <c r="E49" s="89" t="s">
        <v>253</v>
      </c>
      <c r="F49" s="88"/>
      <c r="G49" s="90" t="s">
        <v>409</v>
      </c>
      <c r="H49" s="91">
        <v>41064</v>
      </c>
      <c r="I49" s="92">
        <v>41290</v>
      </c>
      <c r="J49" s="93" t="s">
        <v>413</v>
      </c>
      <c r="K49" s="94">
        <f t="shared" si="4"/>
        <v>2012</v>
      </c>
      <c r="L49" s="95">
        <v>11524</v>
      </c>
      <c r="M49" s="106">
        <v>0.22</v>
      </c>
      <c r="N49" s="106">
        <f>IF(M49="","",1-M49)</f>
        <v>0.78</v>
      </c>
      <c r="O49" s="106">
        <v>0</v>
      </c>
      <c r="P49" s="106">
        <v>1</v>
      </c>
      <c r="Q49" s="99">
        <v>0</v>
      </c>
      <c r="R49" s="98">
        <v>1</v>
      </c>
      <c r="S49" s="131">
        <v>0</v>
      </c>
      <c r="T49" s="100">
        <f>6711+2313</f>
        <v>9024</v>
      </c>
      <c r="U49" s="101">
        <f>6711+2313</f>
        <v>9024</v>
      </c>
      <c r="V49" s="102">
        <f>6711+2313</f>
        <v>9024</v>
      </c>
      <c r="W49" s="103">
        <v>2500</v>
      </c>
      <c r="X49" s="101">
        <v>2500</v>
      </c>
      <c r="Y49" s="93">
        <v>2500</v>
      </c>
      <c r="Z49" s="104">
        <v>220000</v>
      </c>
      <c r="AA49" s="105">
        <f t="shared" si="0"/>
        <v>220000</v>
      </c>
      <c r="AB49" s="105">
        <f t="shared" si="1"/>
        <v>0</v>
      </c>
      <c r="AC49" s="105">
        <f t="shared" si="2"/>
        <v>0</v>
      </c>
      <c r="AD49" s="105">
        <f t="shared" si="3"/>
        <v>0</v>
      </c>
      <c r="AE49" s="106">
        <v>0.85</v>
      </c>
      <c r="AF49" s="106">
        <v>0.33</v>
      </c>
      <c r="AG49" s="106">
        <v>0.23</v>
      </c>
      <c r="AH49" s="131">
        <v>0.44</v>
      </c>
      <c r="AI49" s="130"/>
    </row>
    <row r="50" spans="3:35" s="124" customFormat="1" ht="40.15" customHeight="1" x14ac:dyDescent="0.2">
      <c r="C50" s="397" t="s">
        <v>721</v>
      </c>
      <c r="D50" s="88"/>
      <c r="E50" s="89" t="s">
        <v>253</v>
      </c>
      <c r="F50" s="88"/>
      <c r="G50" s="90" t="s">
        <v>409</v>
      </c>
      <c r="H50" s="91">
        <v>41240</v>
      </c>
      <c r="I50" s="92">
        <v>41331</v>
      </c>
      <c r="J50" s="93" t="s">
        <v>413</v>
      </c>
      <c r="K50" s="94">
        <f t="shared" si="4"/>
        <v>2012</v>
      </c>
      <c r="L50" s="95">
        <v>7000</v>
      </c>
      <c r="M50" s="106">
        <v>0</v>
      </c>
      <c r="N50" s="106">
        <v>1</v>
      </c>
      <c r="O50" s="106">
        <v>0</v>
      </c>
      <c r="P50" s="106">
        <v>1</v>
      </c>
      <c r="Q50" s="99">
        <v>0</v>
      </c>
      <c r="R50" s="98">
        <v>1</v>
      </c>
      <c r="S50" s="131">
        <v>0</v>
      </c>
      <c r="T50" s="100">
        <v>7000</v>
      </c>
      <c r="U50" s="101">
        <v>7000</v>
      </c>
      <c r="V50" s="102">
        <v>7000</v>
      </c>
      <c r="W50" s="103"/>
      <c r="X50" s="101"/>
      <c r="Y50" s="93"/>
      <c r="Z50" s="104">
        <v>158854</v>
      </c>
      <c r="AA50" s="105">
        <f t="shared" si="0"/>
        <v>158854</v>
      </c>
      <c r="AB50" s="105">
        <f t="shared" si="1"/>
        <v>0</v>
      </c>
      <c r="AC50" s="105">
        <f t="shared" si="2"/>
        <v>0</v>
      </c>
      <c r="AD50" s="105">
        <f t="shared" si="3"/>
        <v>0</v>
      </c>
      <c r="AE50" s="106">
        <v>1</v>
      </c>
      <c r="AF50" s="106">
        <f>(10950+71640+14328)/(10950+1556+71640+1500+1365+14328)</f>
        <v>0.95637415012976246</v>
      </c>
      <c r="AG50" s="106">
        <f>(1556)/(10950+1556+71640+1500+1365+14328)</f>
        <v>1.5354404523431255E-2</v>
      </c>
      <c r="AH50" s="131">
        <f>(1500+1365)/(10950+1556+71640+1500+1365+14328)</f>
        <v>2.8271445346806263E-2</v>
      </c>
      <c r="AI50" s="130"/>
    </row>
    <row r="51" spans="3:35" s="124" customFormat="1" ht="40.15" customHeight="1" x14ac:dyDescent="0.2">
      <c r="C51" s="397" t="s">
        <v>721</v>
      </c>
      <c r="D51" s="88"/>
      <c r="E51" s="89" t="s">
        <v>322</v>
      </c>
      <c r="F51" s="88"/>
      <c r="G51" s="90" t="s">
        <v>410</v>
      </c>
      <c r="H51" s="135">
        <v>41426</v>
      </c>
      <c r="I51" s="136">
        <v>41790</v>
      </c>
      <c r="J51" s="137" t="s">
        <v>413</v>
      </c>
      <c r="K51" s="138">
        <f t="shared" si="4"/>
        <v>2013</v>
      </c>
      <c r="L51" s="95">
        <v>13020</v>
      </c>
      <c r="M51" s="106">
        <f>7900/L51</f>
        <v>0.60675883256528418</v>
      </c>
      <c r="N51" s="106">
        <f t="shared" ref="N51:N63" si="16">IF(M51="","",1-M51)</f>
        <v>0.39324116743471582</v>
      </c>
      <c r="O51" s="106">
        <v>0</v>
      </c>
      <c r="P51" s="106">
        <v>1</v>
      </c>
      <c r="Q51" s="99">
        <v>0</v>
      </c>
      <c r="R51" s="98">
        <v>1</v>
      </c>
      <c r="S51" s="131">
        <v>0</v>
      </c>
      <c r="T51" s="100">
        <v>5120</v>
      </c>
      <c r="U51" s="101">
        <f>5120+7900</f>
        <v>13020</v>
      </c>
      <c r="V51" s="102">
        <v>5120</v>
      </c>
      <c r="W51" s="103">
        <v>0</v>
      </c>
      <c r="X51" s="101">
        <v>0</v>
      </c>
      <c r="Y51" s="93">
        <v>0</v>
      </c>
      <c r="Z51" s="104">
        <v>796569</v>
      </c>
      <c r="AA51" s="105">
        <f t="shared" si="0"/>
        <v>468312.54395604396</v>
      </c>
      <c r="AB51" s="105">
        <f t="shared" si="1"/>
        <v>328256.45604395604</v>
      </c>
      <c r="AC51" s="105">
        <f t="shared" si="2"/>
        <v>0</v>
      </c>
      <c r="AD51" s="105">
        <f t="shared" si="3"/>
        <v>0</v>
      </c>
      <c r="AE51" s="106">
        <v>1</v>
      </c>
      <c r="AF51" s="106">
        <v>0.23</v>
      </c>
      <c r="AG51" s="106">
        <v>0.01</v>
      </c>
      <c r="AH51" s="131">
        <v>0.19</v>
      </c>
      <c r="AI51" s="130" t="s">
        <v>411</v>
      </c>
    </row>
    <row r="52" spans="3:35" s="124" customFormat="1" ht="40.15" customHeight="1" x14ac:dyDescent="0.2">
      <c r="C52" s="397" t="s">
        <v>721</v>
      </c>
      <c r="D52" s="88"/>
      <c r="E52" s="89" t="s">
        <v>328</v>
      </c>
      <c r="F52" s="88"/>
      <c r="G52" s="90" t="s">
        <v>412</v>
      </c>
      <c r="H52" s="135">
        <v>40912</v>
      </c>
      <c r="I52" s="136">
        <v>41032</v>
      </c>
      <c r="J52" s="93" t="s">
        <v>413</v>
      </c>
      <c r="K52" s="138">
        <f t="shared" si="4"/>
        <v>2012</v>
      </c>
      <c r="L52" s="95">
        <v>7280</v>
      </c>
      <c r="M52" s="106">
        <v>0</v>
      </c>
      <c r="N52" s="106">
        <f t="shared" si="16"/>
        <v>1</v>
      </c>
      <c r="O52" s="106">
        <v>0</v>
      </c>
      <c r="P52" s="106">
        <v>1</v>
      </c>
      <c r="Q52" s="99">
        <v>0</v>
      </c>
      <c r="R52" s="98">
        <v>1</v>
      </c>
      <c r="S52" s="131">
        <v>0</v>
      </c>
      <c r="T52" s="100">
        <v>4500</v>
      </c>
      <c r="U52" s="101">
        <v>0</v>
      </c>
      <c r="V52" s="102">
        <v>7280</v>
      </c>
      <c r="W52" s="103">
        <v>0</v>
      </c>
      <c r="X52" s="101">
        <v>0</v>
      </c>
      <c r="Y52" s="93">
        <v>0</v>
      </c>
      <c r="Z52" s="104">
        <v>197000</v>
      </c>
      <c r="AA52" s="105">
        <f t="shared" si="0"/>
        <v>197000</v>
      </c>
      <c r="AB52" s="105">
        <f t="shared" si="1"/>
        <v>0</v>
      </c>
      <c r="AC52" s="105">
        <f t="shared" si="2"/>
        <v>0</v>
      </c>
      <c r="AD52" s="105">
        <f t="shared" si="3"/>
        <v>0</v>
      </c>
      <c r="AE52" s="106">
        <v>1</v>
      </c>
      <c r="AF52" s="106">
        <v>0.05</v>
      </c>
      <c r="AG52" s="106">
        <v>0</v>
      </c>
      <c r="AH52" s="131">
        <v>0.95</v>
      </c>
      <c r="AI52" s="130"/>
    </row>
    <row r="53" spans="3:35" s="124" customFormat="1" ht="40.15" customHeight="1" x14ac:dyDescent="0.2">
      <c r="C53" s="397" t="s">
        <v>721</v>
      </c>
      <c r="D53" s="88"/>
      <c r="E53" s="89" t="s">
        <v>322</v>
      </c>
      <c r="F53" s="88"/>
      <c r="G53" s="90" t="s">
        <v>410</v>
      </c>
      <c r="H53" s="135">
        <v>41115</v>
      </c>
      <c r="I53" s="136">
        <v>41449</v>
      </c>
      <c r="J53" s="93" t="s">
        <v>413</v>
      </c>
      <c r="K53" s="138">
        <f t="shared" si="4"/>
        <v>2012</v>
      </c>
      <c r="L53" s="95">
        <v>35714</v>
      </c>
      <c r="M53" s="106">
        <f>22558/L53</f>
        <v>0.63162905303242423</v>
      </c>
      <c r="N53" s="106">
        <f t="shared" si="16"/>
        <v>0.36837094696757577</v>
      </c>
      <c r="O53" s="106">
        <v>0</v>
      </c>
      <c r="P53" s="106">
        <v>1</v>
      </c>
      <c r="Q53" s="99">
        <v>0</v>
      </c>
      <c r="R53" s="98">
        <v>1</v>
      </c>
      <c r="S53" s="131">
        <v>0</v>
      </c>
      <c r="T53" s="100">
        <v>13773</v>
      </c>
      <c r="U53" s="101">
        <v>13667</v>
      </c>
      <c r="V53" s="102">
        <v>29447</v>
      </c>
      <c r="W53" s="103">
        <v>0</v>
      </c>
      <c r="X53" s="101">
        <v>0</v>
      </c>
      <c r="Y53" s="93">
        <v>0</v>
      </c>
      <c r="Z53" s="104">
        <v>504350</v>
      </c>
      <c r="AA53" s="105">
        <f t="shared" si="0"/>
        <v>504350</v>
      </c>
      <c r="AB53" s="105">
        <f t="shared" si="1"/>
        <v>0</v>
      </c>
      <c r="AC53" s="105">
        <f t="shared" si="2"/>
        <v>0</v>
      </c>
      <c r="AD53" s="105">
        <f t="shared" si="3"/>
        <v>0</v>
      </c>
      <c r="AE53" s="106">
        <v>1</v>
      </c>
      <c r="AF53" s="106">
        <f>(120929+20458)/356642</f>
        <v>0.39643956684854842</v>
      </c>
      <c r="AG53" s="106">
        <f>17928/356642</f>
        <v>5.0268897101294854E-2</v>
      </c>
      <c r="AH53" s="131">
        <f>71328/356642</f>
        <v>0.19999887842710617</v>
      </c>
      <c r="AI53" s="130" t="s">
        <v>414</v>
      </c>
    </row>
    <row r="54" spans="3:35" s="124" customFormat="1" ht="40.15" customHeight="1" x14ac:dyDescent="0.2">
      <c r="C54" s="397" t="s">
        <v>721</v>
      </c>
      <c r="D54" s="88"/>
      <c r="E54" s="89" t="s">
        <v>322</v>
      </c>
      <c r="F54" s="88"/>
      <c r="G54" s="90" t="s">
        <v>697</v>
      </c>
      <c r="H54" s="135">
        <v>41883</v>
      </c>
      <c r="I54" s="136">
        <v>42246</v>
      </c>
      <c r="J54" s="93" t="s">
        <v>231</v>
      </c>
      <c r="K54" s="138">
        <v>2014</v>
      </c>
      <c r="L54" s="95">
        <v>22403</v>
      </c>
      <c r="M54" s="106">
        <v>0.64027139222425566</v>
      </c>
      <c r="N54" s="106">
        <v>0.35972860777574434</v>
      </c>
      <c r="O54" s="106">
        <v>0</v>
      </c>
      <c r="P54" s="106">
        <v>1</v>
      </c>
      <c r="Q54" s="99">
        <v>0</v>
      </c>
      <c r="R54" s="98">
        <v>1</v>
      </c>
      <c r="S54" s="131">
        <v>0</v>
      </c>
      <c r="T54" s="100">
        <v>22403</v>
      </c>
      <c r="U54" s="101">
        <v>22403</v>
      </c>
      <c r="V54" s="102">
        <v>22403</v>
      </c>
      <c r="W54" s="103">
        <v>0</v>
      </c>
      <c r="X54" s="101">
        <v>0</v>
      </c>
      <c r="Y54" s="93">
        <v>0</v>
      </c>
      <c r="Z54" s="104">
        <v>649786</v>
      </c>
      <c r="AA54" s="105">
        <f t="shared" si="0"/>
        <v>0</v>
      </c>
      <c r="AB54" s="105">
        <f t="shared" si="1"/>
        <v>216595.33333333337</v>
      </c>
      <c r="AC54" s="105">
        <f t="shared" si="2"/>
        <v>433190.66666666663</v>
      </c>
      <c r="AD54" s="105">
        <f t="shared" si="3"/>
        <v>0</v>
      </c>
      <c r="AE54" s="106">
        <v>1</v>
      </c>
      <c r="AF54" s="106">
        <v>0.36</v>
      </c>
      <c r="AG54" s="106">
        <v>0.02</v>
      </c>
      <c r="AH54" s="131">
        <v>0.62</v>
      </c>
      <c r="AI54" s="130" t="s">
        <v>698</v>
      </c>
    </row>
    <row r="55" spans="3:35" s="124" customFormat="1" ht="40.15" customHeight="1" x14ac:dyDescent="0.2">
      <c r="C55" s="397" t="s">
        <v>721</v>
      </c>
      <c r="D55" s="88"/>
      <c r="E55" s="89" t="s">
        <v>398</v>
      </c>
      <c r="F55" s="88"/>
      <c r="G55" s="90" t="s">
        <v>415</v>
      </c>
      <c r="H55" s="135">
        <v>41640</v>
      </c>
      <c r="I55" s="136">
        <v>41820</v>
      </c>
      <c r="J55" s="137" t="s">
        <v>413</v>
      </c>
      <c r="K55" s="138">
        <f t="shared" si="4"/>
        <v>2014</v>
      </c>
      <c r="L55" s="95">
        <v>3000</v>
      </c>
      <c r="M55" s="106">
        <v>0.5</v>
      </c>
      <c r="N55" s="106">
        <f t="shared" si="16"/>
        <v>0.5</v>
      </c>
      <c r="O55" s="106">
        <v>0</v>
      </c>
      <c r="P55" s="106">
        <v>1</v>
      </c>
      <c r="Q55" s="99">
        <v>0</v>
      </c>
      <c r="R55" s="98">
        <v>1</v>
      </c>
      <c r="S55" s="131">
        <v>0</v>
      </c>
      <c r="T55" s="100">
        <v>3000</v>
      </c>
      <c r="U55" s="101">
        <v>3000</v>
      </c>
      <c r="V55" s="102">
        <v>3000</v>
      </c>
      <c r="W55" s="103">
        <v>0</v>
      </c>
      <c r="X55" s="101">
        <v>0</v>
      </c>
      <c r="Y55" s="93">
        <v>0</v>
      </c>
      <c r="Z55" s="104">
        <v>78945</v>
      </c>
      <c r="AA55" s="105">
        <f t="shared" si="0"/>
        <v>0</v>
      </c>
      <c r="AB55" s="105">
        <f t="shared" si="1"/>
        <v>78945</v>
      </c>
      <c r="AC55" s="105">
        <f t="shared" si="2"/>
        <v>0</v>
      </c>
      <c r="AD55" s="105">
        <f t="shared" si="3"/>
        <v>0</v>
      </c>
      <c r="AE55" s="106">
        <v>1</v>
      </c>
      <c r="AF55" s="106">
        <v>0.33</v>
      </c>
      <c r="AG55" s="106">
        <v>0.33</v>
      </c>
      <c r="AH55" s="131">
        <v>0.33</v>
      </c>
      <c r="AI55" s="130"/>
    </row>
    <row r="56" spans="3:35" s="124" customFormat="1" ht="40.15" customHeight="1" x14ac:dyDescent="0.2">
      <c r="C56" s="397" t="s">
        <v>721</v>
      </c>
      <c r="D56" s="88" t="s">
        <v>722</v>
      </c>
      <c r="E56" s="89" t="s">
        <v>398</v>
      </c>
      <c r="F56" s="88"/>
      <c r="G56" s="90" t="s">
        <v>699</v>
      </c>
      <c r="H56" s="135">
        <v>41883</v>
      </c>
      <c r="I56" s="136">
        <v>42277</v>
      </c>
      <c r="J56" s="137" t="s">
        <v>413</v>
      </c>
      <c r="K56" s="138">
        <v>2014</v>
      </c>
      <c r="L56" s="399">
        <v>5000</v>
      </c>
      <c r="M56" s="405">
        <v>0.5</v>
      </c>
      <c r="N56" s="405">
        <v>0.5</v>
      </c>
      <c r="O56" s="405">
        <v>0.5</v>
      </c>
      <c r="P56" s="405">
        <v>0.25</v>
      </c>
      <c r="Q56" s="406">
        <v>0.25</v>
      </c>
      <c r="R56" s="400">
        <v>0.5</v>
      </c>
      <c r="S56" s="401">
        <v>0.5</v>
      </c>
      <c r="T56" s="402">
        <v>5000</v>
      </c>
      <c r="U56" s="403">
        <v>5000</v>
      </c>
      <c r="V56" s="404">
        <v>5000</v>
      </c>
      <c r="W56" s="103">
        <v>0</v>
      </c>
      <c r="X56" s="101">
        <v>0</v>
      </c>
      <c r="Y56" s="93">
        <v>0</v>
      </c>
      <c r="Z56" s="104">
        <v>267190</v>
      </c>
      <c r="AA56" s="105">
        <f t="shared" si="0"/>
        <v>0</v>
      </c>
      <c r="AB56" s="105">
        <f t="shared" si="1"/>
        <v>82055.812182741123</v>
      </c>
      <c r="AC56" s="105">
        <f t="shared" si="2"/>
        <v>185134.18781725888</v>
      </c>
      <c r="AD56" s="105">
        <f t="shared" si="3"/>
        <v>0</v>
      </c>
      <c r="AE56" s="106"/>
      <c r="AF56" s="106">
        <v>0.3</v>
      </c>
      <c r="AG56" s="106">
        <v>0.3</v>
      </c>
      <c r="AH56" s="131">
        <v>0.4</v>
      </c>
      <c r="AI56" s="130" t="s">
        <v>700</v>
      </c>
    </row>
    <row r="57" spans="3:35" s="124" customFormat="1" ht="40.15" customHeight="1" x14ac:dyDescent="0.2">
      <c r="C57" s="397" t="s">
        <v>721</v>
      </c>
      <c r="D57" s="88"/>
      <c r="E57" s="89" t="s">
        <v>253</v>
      </c>
      <c r="F57" s="88"/>
      <c r="G57" s="90" t="s">
        <v>416</v>
      </c>
      <c r="H57" s="139">
        <v>41632</v>
      </c>
      <c r="I57" s="140">
        <v>41874</v>
      </c>
      <c r="J57" s="141" t="s">
        <v>413</v>
      </c>
      <c r="K57" s="142">
        <f t="shared" si="4"/>
        <v>2013</v>
      </c>
      <c r="L57" s="95">
        <v>11774</v>
      </c>
      <c r="M57" s="106">
        <v>0.9</v>
      </c>
      <c r="N57" s="106">
        <f t="shared" si="16"/>
        <v>9.9999999999999978E-2</v>
      </c>
      <c r="O57" s="106">
        <v>0</v>
      </c>
      <c r="P57" s="106">
        <v>1</v>
      </c>
      <c r="Q57" s="99">
        <v>0</v>
      </c>
      <c r="R57" s="98">
        <v>1</v>
      </c>
      <c r="S57" s="131">
        <v>0</v>
      </c>
      <c r="T57" s="100">
        <v>1250</v>
      </c>
      <c r="U57" s="101">
        <v>1250</v>
      </c>
      <c r="V57" s="102">
        <v>0</v>
      </c>
      <c r="W57" s="103">
        <v>0</v>
      </c>
      <c r="X57" s="101">
        <v>0</v>
      </c>
      <c r="Y57" s="93">
        <v>0</v>
      </c>
      <c r="Z57" s="398">
        <v>249000</v>
      </c>
      <c r="AA57" s="105">
        <f t="shared" si="0"/>
        <v>8231.4049586776819</v>
      </c>
      <c r="AB57" s="105">
        <f t="shared" si="1"/>
        <v>240768.59504132232</v>
      </c>
      <c r="AC57" s="105">
        <f t="shared" si="2"/>
        <v>0</v>
      </c>
      <c r="AD57" s="105">
        <f t="shared" si="3"/>
        <v>0</v>
      </c>
      <c r="AE57" s="106">
        <v>1</v>
      </c>
      <c r="AF57" s="106">
        <v>0.25</v>
      </c>
      <c r="AG57" s="106">
        <v>0.64</v>
      </c>
      <c r="AH57" s="131">
        <v>0.11</v>
      </c>
      <c r="AI57" s="130"/>
    </row>
    <row r="58" spans="3:35" s="124" customFormat="1" ht="40.15" customHeight="1" x14ac:dyDescent="0.2">
      <c r="C58" s="397" t="s">
        <v>721</v>
      </c>
      <c r="D58" s="88"/>
      <c r="E58" s="89" t="s">
        <v>253</v>
      </c>
      <c r="F58" s="88"/>
      <c r="G58" s="90" t="s">
        <v>672</v>
      </c>
      <c r="H58" s="139">
        <v>41928</v>
      </c>
      <c r="I58" s="140">
        <v>42200</v>
      </c>
      <c r="J58" s="141" t="s">
        <v>413</v>
      </c>
      <c r="K58" s="142">
        <f t="shared" si="4"/>
        <v>2014</v>
      </c>
      <c r="L58" s="95">
        <v>1250</v>
      </c>
      <c r="M58" s="106">
        <v>0.9</v>
      </c>
      <c r="N58" s="106">
        <f t="shared" si="16"/>
        <v>9.9999999999999978E-2</v>
      </c>
      <c r="O58" s="106">
        <v>0</v>
      </c>
      <c r="P58" s="106">
        <v>1</v>
      </c>
      <c r="Q58" s="99">
        <v>0</v>
      </c>
      <c r="R58" s="98">
        <v>1</v>
      </c>
      <c r="S58" s="131">
        <v>0</v>
      </c>
      <c r="T58" s="100">
        <v>1250</v>
      </c>
      <c r="U58" s="101">
        <v>1250</v>
      </c>
      <c r="V58" s="102">
        <v>0</v>
      </c>
      <c r="W58" s="103">
        <v>0</v>
      </c>
      <c r="X58" s="101">
        <v>0</v>
      </c>
      <c r="Y58" s="93">
        <v>0</v>
      </c>
      <c r="Z58" s="398">
        <v>249000</v>
      </c>
      <c r="AA58" s="105">
        <f t="shared" si="0"/>
        <v>0</v>
      </c>
      <c r="AB58" s="105">
        <f t="shared" si="1"/>
        <v>69573.529411764699</v>
      </c>
      <c r="AC58" s="105">
        <f t="shared" si="2"/>
        <v>179426.4705882353</v>
      </c>
      <c r="AD58" s="105">
        <f t="shared" si="3"/>
        <v>0</v>
      </c>
      <c r="AE58" s="106">
        <v>1</v>
      </c>
      <c r="AF58" s="106">
        <v>0.25</v>
      </c>
      <c r="AG58" s="106">
        <v>0.64</v>
      </c>
      <c r="AH58" s="131">
        <v>0.11</v>
      </c>
      <c r="AI58" s="130"/>
    </row>
    <row r="59" spans="3:35" s="124" customFormat="1" ht="40.15" customHeight="1" x14ac:dyDescent="0.2">
      <c r="C59" s="397" t="s">
        <v>721</v>
      </c>
      <c r="D59" s="88"/>
      <c r="E59" s="89" t="s">
        <v>324</v>
      </c>
      <c r="F59" s="88"/>
      <c r="G59" s="90" t="s">
        <v>466</v>
      </c>
      <c r="H59" s="139">
        <v>41760</v>
      </c>
      <c r="I59" s="140">
        <v>42124</v>
      </c>
      <c r="J59" s="141" t="s">
        <v>413</v>
      </c>
      <c r="K59" s="142">
        <f t="shared" si="4"/>
        <v>2014</v>
      </c>
      <c r="L59" s="95">
        <v>6905</v>
      </c>
      <c r="M59" s="106">
        <v>0.3</v>
      </c>
      <c r="N59" s="106">
        <f t="shared" si="16"/>
        <v>0.7</v>
      </c>
      <c r="O59" s="106">
        <v>0</v>
      </c>
      <c r="P59" s="106">
        <v>1</v>
      </c>
      <c r="Q59" s="99">
        <v>0</v>
      </c>
      <c r="R59" s="98">
        <v>1</v>
      </c>
      <c r="S59" s="131">
        <v>0</v>
      </c>
      <c r="T59" s="100">
        <v>6905</v>
      </c>
      <c r="U59" s="101">
        <v>6905</v>
      </c>
      <c r="V59" s="102">
        <v>6905</v>
      </c>
      <c r="W59" s="103">
        <v>0</v>
      </c>
      <c r="X59" s="101">
        <v>0</v>
      </c>
      <c r="Y59" s="93">
        <v>0</v>
      </c>
      <c r="Z59" s="104">
        <v>469947</v>
      </c>
      <c r="AA59" s="105">
        <f t="shared" si="0"/>
        <v>0</v>
      </c>
      <c r="AB59" s="105">
        <f t="shared" si="1"/>
        <v>315019.41758241761</v>
      </c>
      <c r="AC59" s="105">
        <f t="shared" si="2"/>
        <v>154927.58241758242</v>
      </c>
      <c r="AD59" s="105">
        <f t="shared" si="3"/>
        <v>0</v>
      </c>
      <c r="AE59" s="106">
        <v>1</v>
      </c>
      <c r="AF59" s="106">
        <v>0.56999999999999995</v>
      </c>
      <c r="AG59" s="106">
        <v>0.16</v>
      </c>
      <c r="AH59" s="131">
        <v>0.12</v>
      </c>
      <c r="AI59" s="130"/>
    </row>
    <row r="60" spans="3:35" s="124" customFormat="1" ht="40.15" customHeight="1" x14ac:dyDescent="0.2">
      <c r="C60" s="397" t="s">
        <v>721</v>
      </c>
      <c r="D60" s="376" t="s">
        <v>234</v>
      </c>
      <c r="E60" s="377" t="s">
        <v>324</v>
      </c>
      <c r="F60" s="382"/>
      <c r="G60" s="378" t="s">
        <v>466</v>
      </c>
      <c r="H60" s="379">
        <v>42125</v>
      </c>
      <c r="I60" s="380">
        <v>42489</v>
      </c>
      <c r="J60" s="381" t="s">
        <v>231</v>
      </c>
      <c r="K60" s="142">
        <f t="shared" si="4"/>
        <v>2015</v>
      </c>
      <c r="L60" s="407">
        <v>15447</v>
      </c>
      <c r="M60" s="414">
        <v>0.57999999999999996</v>
      </c>
      <c r="N60" s="414">
        <v>0.42</v>
      </c>
      <c r="O60" s="414">
        <v>0</v>
      </c>
      <c r="P60" s="414">
        <v>1</v>
      </c>
      <c r="Q60" s="415">
        <v>0</v>
      </c>
      <c r="R60" s="416">
        <v>1</v>
      </c>
      <c r="S60" s="417">
        <v>0</v>
      </c>
      <c r="T60" s="410">
        <v>15447</v>
      </c>
      <c r="U60" s="411">
        <v>15447</v>
      </c>
      <c r="V60" s="412">
        <v>15447</v>
      </c>
      <c r="W60" s="408">
        <v>0</v>
      </c>
      <c r="X60" s="409">
        <v>0</v>
      </c>
      <c r="Y60" s="413">
        <v>0</v>
      </c>
      <c r="Z60" s="104">
        <v>500000</v>
      </c>
      <c r="AA60" s="105">
        <f t="shared" si="0"/>
        <v>0</v>
      </c>
      <c r="AB60" s="105">
        <f t="shared" si="1"/>
        <v>0</v>
      </c>
      <c r="AC60" s="105">
        <f t="shared" si="2"/>
        <v>335164.83516483521</v>
      </c>
      <c r="AD60" s="105">
        <f t="shared" si="3"/>
        <v>164835.16483516482</v>
      </c>
      <c r="AE60" s="106">
        <v>1</v>
      </c>
      <c r="AF60" s="106">
        <v>0.4</v>
      </c>
      <c r="AG60" s="106">
        <v>0.4</v>
      </c>
      <c r="AH60" s="131">
        <v>0.2</v>
      </c>
      <c r="AI60" s="130"/>
    </row>
    <row r="61" spans="3:35" s="124" customFormat="1" ht="40.15" customHeight="1" x14ac:dyDescent="0.2">
      <c r="C61" s="397" t="s">
        <v>721</v>
      </c>
      <c r="D61" s="390" t="s">
        <v>234</v>
      </c>
      <c r="E61" s="391" t="s">
        <v>322</v>
      </c>
      <c r="F61" s="390"/>
      <c r="G61" s="383" t="s">
        <v>697</v>
      </c>
      <c r="H61" s="387">
        <v>42248</v>
      </c>
      <c r="I61" s="388">
        <v>42521</v>
      </c>
      <c r="J61" s="389" t="s">
        <v>231</v>
      </c>
      <c r="K61" s="142">
        <f t="shared" si="4"/>
        <v>2015</v>
      </c>
      <c r="L61" s="374">
        <v>17285</v>
      </c>
      <c r="M61" s="393">
        <v>0.41</v>
      </c>
      <c r="N61" s="106">
        <f t="shared" si="16"/>
        <v>0.59000000000000008</v>
      </c>
      <c r="O61" s="393">
        <v>0</v>
      </c>
      <c r="P61" s="393">
        <v>1</v>
      </c>
      <c r="Q61" s="394">
        <v>0</v>
      </c>
      <c r="R61" s="395">
        <v>0.88</v>
      </c>
      <c r="S61" s="396">
        <v>0.11</v>
      </c>
      <c r="T61" s="384">
        <v>15375</v>
      </c>
      <c r="U61" s="385">
        <v>15375</v>
      </c>
      <c r="V61" s="386">
        <v>15375</v>
      </c>
      <c r="W61" s="375">
        <v>1910</v>
      </c>
      <c r="X61" s="373">
        <v>1910</v>
      </c>
      <c r="Y61" s="392">
        <v>1910</v>
      </c>
      <c r="Z61" s="104">
        <v>1000000</v>
      </c>
      <c r="AA61" s="105">
        <f t="shared" si="0"/>
        <v>0</v>
      </c>
      <c r="AB61" s="105">
        <f t="shared" si="1"/>
        <v>0</v>
      </c>
      <c r="AC61" s="105">
        <f t="shared" si="2"/>
        <v>443223.44322344323</v>
      </c>
      <c r="AD61" s="105">
        <f t="shared" si="3"/>
        <v>556776.55677655677</v>
      </c>
      <c r="AE61" s="106">
        <v>0.33</v>
      </c>
      <c r="AF61" s="106">
        <v>0.16</v>
      </c>
      <c r="AG61" s="106">
        <v>0.51</v>
      </c>
      <c r="AH61" s="131" t="s">
        <v>871</v>
      </c>
      <c r="AI61" s="130"/>
    </row>
    <row r="62" spans="3:35" s="124" customFormat="1" ht="40.15" customHeight="1" x14ac:dyDescent="0.2">
      <c r="C62" s="397" t="s">
        <v>721</v>
      </c>
      <c r="D62" s="88" t="s">
        <v>872</v>
      </c>
      <c r="E62" s="89" t="s">
        <v>398</v>
      </c>
      <c r="F62" s="88"/>
      <c r="G62" s="90" t="s">
        <v>873</v>
      </c>
      <c r="H62" s="135">
        <v>42278</v>
      </c>
      <c r="I62" s="136">
        <v>42643</v>
      </c>
      <c r="J62" s="137" t="s">
        <v>422</v>
      </c>
      <c r="K62" s="142">
        <f t="shared" si="4"/>
        <v>2015</v>
      </c>
      <c r="L62" s="399">
        <v>3000</v>
      </c>
      <c r="M62" s="405">
        <v>0.5</v>
      </c>
      <c r="N62" s="106">
        <f t="shared" si="16"/>
        <v>0.5</v>
      </c>
      <c r="O62" s="405">
        <v>0.28999999999999998</v>
      </c>
      <c r="P62" s="405">
        <v>0.35</v>
      </c>
      <c r="Q62" s="406">
        <v>0.36</v>
      </c>
      <c r="R62" s="400">
        <v>0.5</v>
      </c>
      <c r="S62" s="401">
        <v>0.5</v>
      </c>
      <c r="T62" s="410">
        <v>3000</v>
      </c>
      <c r="U62" s="411">
        <v>3000</v>
      </c>
      <c r="V62" s="412">
        <v>3000</v>
      </c>
      <c r="W62" s="103">
        <v>0</v>
      </c>
      <c r="X62" s="101">
        <v>0</v>
      </c>
      <c r="Y62" s="93">
        <v>0</v>
      </c>
      <c r="Z62" s="104">
        <v>269718</v>
      </c>
      <c r="AA62" s="105">
        <f t="shared" si="0"/>
        <v>0</v>
      </c>
      <c r="AB62" s="105">
        <f t="shared" si="1"/>
        <v>0</v>
      </c>
      <c r="AC62" s="105">
        <f t="shared" si="2"/>
        <v>67244.761643835605</v>
      </c>
      <c r="AD62" s="105">
        <f t="shared" si="3"/>
        <v>202473.23835616439</v>
      </c>
      <c r="AE62" s="106">
        <v>1</v>
      </c>
      <c r="AF62" s="106">
        <v>0.14000000000000001</v>
      </c>
      <c r="AG62" s="106">
        <v>0.59</v>
      </c>
      <c r="AH62" s="131">
        <v>0.26</v>
      </c>
      <c r="AI62" s="130" t="s">
        <v>874</v>
      </c>
    </row>
    <row r="63" spans="3:35" s="124" customFormat="1" ht="40.15" customHeight="1" x14ac:dyDescent="0.2">
      <c r="C63" s="143" t="s">
        <v>417</v>
      </c>
      <c r="D63" s="144" t="s">
        <v>230</v>
      </c>
      <c r="E63" s="145" t="s">
        <v>828</v>
      </c>
      <c r="F63" s="144"/>
      <c r="G63" s="146" t="s">
        <v>418</v>
      </c>
      <c r="H63" s="147">
        <v>41456</v>
      </c>
      <c r="I63" s="148">
        <v>41729</v>
      </c>
      <c r="J63" s="149" t="s">
        <v>413</v>
      </c>
      <c r="K63" s="142">
        <f t="shared" si="4"/>
        <v>2013</v>
      </c>
      <c r="L63" s="150">
        <v>9561</v>
      </c>
      <c r="M63" s="151">
        <v>0.2</v>
      </c>
      <c r="N63" s="151">
        <f t="shared" si="16"/>
        <v>0.8</v>
      </c>
      <c r="O63" s="151"/>
      <c r="P63" s="151"/>
      <c r="Q63" s="152"/>
      <c r="R63" s="153">
        <v>1</v>
      </c>
      <c r="S63" s="161">
        <v>0</v>
      </c>
      <c r="T63" s="154">
        <v>5383</v>
      </c>
      <c r="U63" s="155">
        <v>1844</v>
      </c>
      <c r="V63" s="156">
        <v>9066</v>
      </c>
      <c r="W63" s="157">
        <v>0</v>
      </c>
      <c r="X63" s="155">
        <v>0</v>
      </c>
      <c r="Y63" s="158">
        <v>0</v>
      </c>
      <c r="Z63" s="159">
        <v>245165</v>
      </c>
      <c r="AA63" s="160">
        <f t="shared" si="0"/>
        <v>165239.41391941393</v>
      </c>
      <c r="AB63" s="160">
        <f t="shared" si="1"/>
        <v>79925.586080586087</v>
      </c>
      <c r="AC63" s="160">
        <f t="shared" si="2"/>
        <v>0</v>
      </c>
      <c r="AD63" s="160">
        <f t="shared" si="3"/>
        <v>0</v>
      </c>
      <c r="AE63" s="151">
        <v>1</v>
      </c>
      <c r="AF63" s="151">
        <v>0.38</v>
      </c>
      <c r="AG63" s="151">
        <v>0.11</v>
      </c>
      <c r="AH63" s="161">
        <v>0.51</v>
      </c>
      <c r="AI63" s="162"/>
    </row>
    <row r="64" spans="3:35" s="124" customFormat="1" ht="40.15" customHeight="1" thickBot="1" x14ac:dyDescent="0.25">
      <c r="C64" s="143" t="s">
        <v>417</v>
      </c>
      <c r="D64" s="144" t="s">
        <v>230</v>
      </c>
      <c r="E64" s="145" t="s">
        <v>828</v>
      </c>
      <c r="F64" s="144"/>
      <c r="G64" s="90" t="s">
        <v>745</v>
      </c>
      <c r="H64" s="91">
        <v>42156</v>
      </c>
      <c r="I64" s="92">
        <v>42369</v>
      </c>
      <c r="J64" s="93" t="s">
        <v>231</v>
      </c>
      <c r="K64" s="94">
        <f t="shared" si="4"/>
        <v>2015</v>
      </c>
      <c r="L64" s="95">
        <v>6432</v>
      </c>
      <c r="M64" s="106">
        <v>0.31</v>
      </c>
      <c r="N64" s="106">
        <v>0.69</v>
      </c>
      <c r="O64" s="106">
        <v>0.14000000000000001</v>
      </c>
      <c r="P64" s="106">
        <v>0.01</v>
      </c>
      <c r="Q64" s="99">
        <v>0.85</v>
      </c>
      <c r="R64" s="98">
        <v>1</v>
      </c>
      <c r="S64" s="131">
        <v>0</v>
      </c>
      <c r="T64" s="100">
        <v>2858</v>
      </c>
      <c r="U64" s="101">
        <v>1972</v>
      </c>
      <c r="V64" s="102">
        <v>6432</v>
      </c>
      <c r="W64" s="103">
        <v>0</v>
      </c>
      <c r="X64" s="101">
        <v>0</v>
      </c>
      <c r="Y64" s="93">
        <v>0</v>
      </c>
      <c r="Z64" s="104">
        <v>154118</v>
      </c>
      <c r="AA64" s="160">
        <f t="shared" si="0"/>
        <v>0</v>
      </c>
      <c r="AB64" s="160">
        <f t="shared" si="1"/>
        <v>0</v>
      </c>
      <c r="AC64" s="160">
        <f t="shared" si="2"/>
        <v>154118</v>
      </c>
      <c r="AD64" s="160">
        <f t="shared" si="3"/>
        <v>0</v>
      </c>
      <c r="AE64" s="151">
        <v>1</v>
      </c>
      <c r="AF64" s="151">
        <v>0.32</v>
      </c>
      <c r="AG64" s="151">
        <v>0.59</v>
      </c>
      <c r="AH64" s="161">
        <v>0.04</v>
      </c>
      <c r="AI64" s="162"/>
    </row>
    <row r="65" spans="2:35" s="124" customFormat="1" ht="40.15" customHeight="1" x14ac:dyDescent="0.2">
      <c r="B65" s="942" t="s">
        <v>602</v>
      </c>
      <c r="C65" s="163" t="s">
        <v>253</v>
      </c>
      <c r="D65" s="164"/>
      <c r="E65" s="165" t="s">
        <v>325</v>
      </c>
      <c r="F65" s="164"/>
      <c r="G65" s="756"/>
      <c r="H65" s="166">
        <v>41016</v>
      </c>
      <c r="I65" s="167">
        <v>41274</v>
      </c>
      <c r="J65" s="168" t="s">
        <v>413</v>
      </c>
      <c r="K65" s="169">
        <f t="shared" ref="K65:K73" si="17">YEAR(H65)</f>
        <v>2012</v>
      </c>
      <c r="L65" s="777">
        <v>86740</v>
      </c>
      <c r="M65" s="170">
        <f>36925/L65</f>
        <v>0.42569748674198754</v>
      </c>
      <c r="N65" s="170">
        <v>0.56999999999999995</v>
      </c>
      <c r="O65" s="170">
        <v>0</v>
      </c>
      <c r="P65" s="170">
        <f>23300/L65</f>
        <v>0.26861886096379989</v>
      </c>
      <c r="Q65" s="171">
        <v>0.73</v>
      </c>
      <c r="R65" s="172">
        <v>1</v>
      </c>
      <c r="S65" s="175">
        <v>0</v>
      </c>
      <c r="T65" s="760">
        <v>36740</v>
      </c>
      <c r="U65" s="763">
        <v>36740</v>
      </c>
      <c r="V65" s="765">
        <v>36740</v>
      </c>
      <c r="W65" s="767"/>
      <c r="X65" s="770"/>
      <c r="Y65" s="772"/>
      <c r="Z65" s="173">
        <v>981022.61</v>
      </c>
      <c r="AA65" s="174">
        <f t="shared" ref="AA65:AA73" si="18">Z65-(AB65+AC65+AD65)</f>
        <v>981022.61</v>
      </c>
      <c r="AB65" s="174">
        <f t="shared" ref="AB65:AB73" si="19">IF(I65&lt;$C$1,0,IF(H65&gt;$C$1,Z65-(AC65+AD65),(I65-$C$1)/(I65-H65)*Z65-(AC65+AD65)))</f>
        <v>0</v>
      </c>
      <c r="AC65" s="174">
        <f t="shared" ref="AC65:AC73" si="20">IF(I65&lt;$D$1,0,IF(H65&gt;$D$1,Z65-AD65,(I65-$D$1)/(I65-H65)*Z65-AD65))</f>
        <v>0</v>
      </c>
      <c r="AD65" s="174">
        <f t="shared" ref="AD65:AD73" si="21">IF(I65&lt;$E$1,0,IF(H65&gt;$E$1,Z65,(I65-$E$1)/(I65-H65)*Z65))</f>
        <v>0</v>
      </c>
      <c r="AE65" s="770"/>
      <c r="AF65" s="775"/>
      <c r="AG65" s="775"/>
      <c r="AH65" s="776"/>
      <c r="AI65" s="176"/>
    </row>
    <row r="66" spans="2:35" s="124" customFormat="1" ht="40.15" customHeight="1" x14ac:dyDescent="0.2">
      <c r="B66" s="943"/>
      <c r="C66" s="177" t="s">
        <v>253</v>
      </c>
      <c r="D66" s="178"/>
      <c r="E66" s="179" t="s">
        <v>325</v>
      </c>
      <c r="F66" s="178"/>
      <c r="G66" s="426"/>
      <c r="H66" s="180">
        <v>41533</v>
      </c>
      <c r="I66" s="181">
        <v>41820</v>
      </c>
      <c r="J66" s="182" t="s">
        <v>413</v>
      </c>
      <c r="K66" s="183">
        <f t="shared" si="17"/>
        <v>2013</v>
      </c>
      <c r="L66" s="184">
        <f>L40+L12</f>
        <v>25000</v>
      </c>
      <c r="M66" s="185">
        <f>2441/L66</f>
        <v>9.7640000000000005E-2</v>
      </c>
      <c r="N66" s="185">
        <v>0.75</v>
      </c>
      <c r="O66" s="185">
        <f>2291/L66</f>
        <v>9.1639999999999999E-2</v>
      </c>
      <c r="P66" s="185">
        <v>0</v>
      </c>
      <c r="Q66" s="186">
        <v>0.77</v>
      </c>
      <c r="R66" s="187">
        <v>1</v>
      </c>
      <c r="S66" s="189">
        <v>0</v>
      </c>
      <c r="T66" s="762">
        <v>5989</v>
      </c>
      <c r="U66" s="778">
        <v>5462</v>
      </c>
      <c r="V66" s="779">
        <v>6137</v>
      </c>
      <c r="W66" s="502"/>
      <c r="X66" s="424"/>
      <c r="Y66" s="425"/>
      <c r="Z66" s="104">
        <v>514030</v>
      </c>
      <c r="AA66" s="105">
        <f t="shared" si="18"/>
        <v>191641.84668989549</v>
      </c>
      <c r="AB66" s="105">
        <f t="shared" si="19"/>
        <v>322388.15331010451</v>
      </c>
      <c r="AC66" s="105">
        <f t="shared" si="20"/>
        <v>0</v>
      </c>
      <c r="AD66" s="105">
        <f t="shared" si="21"/>
        <v>0</v>
      </c>
      <c r="AE66" s="424"/>
      <c r="AF66" s="418"/>
      <c r="AG66" s="418"/>
      <c r="AH66" s="421"/>
      <c r="AI66" s="190"/>
    </row>
    <row r="67" spans="2:35" s="65" customFormat="1" ht="40.15" customHeight="1" x14ac:dyDescent="0.2">
      <c r="B67" s="943"/>
      <c r="C67" s="177" t="s">
        <v>253</v>
      </c>
      <c r="D67" s="178"/>
      <c r="E67" s="179" t="s">
        <v>325</v>
      </c>
      <c r="F67" s="178"/>
      <c r="G67" s="426"/>
      <c r="H67" s="180">
        <v>41730</v>
      </c>
      <c r="I67" s="181">
        <v>42004</v>
      </c>
      <c r="J67" s="182" t="s">
        <v>413</v>
      </c>
      <c r="K67" s="183">
        <f t="shared" si="17"/>
        <v>2014</v>
      </c>
      <c r="L67" s="184">
        <f t="shared" ref="L67:Q67" si="22">L38</f>
        <v>3088</v>
      </c>
      <c r="M67" s="185">
        <f t="shared" si="22"/>
        <v>0</v>
      </c>
      <c r="N67" s="185">
        <f t="shared" si="22"/>
        <v>1</v>
      </c>
      <c r="O67" s="185">
        <f t="shared" si="22"/>
        <v>1</v>
      </c>
      <c r="P67" s="185">
        <f t="shared" si="22"/>
        <v>0</v>
      </c>
      <c r="Q67" s="186">
        <f t="shared" si="22"/>
        <v>0</v>
      </c>
      <c r="R67" s="187">
        <v>1</v>
      </c>
      <c r="S67" s="189">
        <v>0</v>
      </c>
      <c r="T67" s="188">
        <f>T38</f>
        <v>0</v>
      </c>
      <c r="U67" s="424"/>
      <c r="V67" s="486"/>
      <c r="W67" s="502"/>
      <c r="X67" s="424"/>
      <c r="Y67" s="425"/>
      <c r="Z67" s="104">
        <v>700000</v>
      </c>
      <c r="AA67" s="105">
        <f t="shared" si="18"/>
        <v>0</v>
      </c>
      <c r="AB67" s="105">
        <f t="shared" si="19"/>
        <v>700000</v>
      </c>
      <c r="AC67" s="105">
        <f t="shared" si="20"/>
        <v>0</v>
      </c>
      <c r="AD67" s="105">
        <f t="shared" si="21"/>
        <v>0</v>
      </c>
      <c r="AE67" s="424"/>
      <c r="AF67" s="418"/>
      <c r="AG67" s="418"/>
      <c r="AH67" s="421"/>
      <c r="AI67" s="190"/>
    </row>
    <row r="68" spans="2:35" s="65" customFormat="1" ht="40.15" customHeight="1" x14ac:dyDescent="0.2">
      <c r="B68" s="943"/>
      <c r="C68" s="177" t="s">
        <v>253</v>
      </c>
      <c r="D68" s="178"/>
      <c r="E68" s="179" t="s">
        <v>325</v>
      </c>
      <c r="F68" s="178"/>
      <c r="G68" s="426"/>
      <c r="H68" s="180">
        <v>42275</v>
      </c>
      <c r="I68" s="181">
        <v>42551</v>
      </c>
      <c r="J68" s="182" t="s">
        <v>231</v>
      </c>
      <c r="K68" s="183">
        <f t="shared" si="17"/>
        <v>2015</v>
      </c>
      <c r="L68" s="191">
        <v>22447</v>
      </c>
      <c r="M68" s="418"/>
      <c r="N68" s="418"/>
      <c r="O68" s="418"/>
      <c r="P68" s="418"/>
      <c r="Q68" s="419"/>
      <c r="R68" s="420"/>
      <c r="S68" s="421"/>
      <c r="T68" s="422"/>
      <c r="U68" s="423"/>
      <c r="V68" s="717"/>
      <c r="W68" s="502"/>
      <c r="X68" s="424"/>
      <c r="Y68" s="425"/>
      <c r="Z68" s="104">
        <v>400000</v>
      </c>
      <c r="AA68" s="105">
        <f t="shared" si="18"/>
        <v>0</v>
      </c>
      <c r="AB68" s="105">
        <f t="shared" si="19"/>
        <v>0</v>
      </c>
      <c r="AC68" s="105">
        <f t="shared" si="20"/>
        <v>136231.88405797101</v>
      </c>
      <c r="AD68" s="105">
        <f t="shared" si="21"/>
        <v>263768.11594202899</v>
      </c>
      <c r="AE68" s="424"/>
      <c r="AF68" s="418"/>
      <c r="AG68" s="418"/>
      <c r="AH68" s="421"/>
      <c r="AI68" s="190"/>
    </row>
    <row r="69" spans="2:35" s="65" customFormat="1" ht="40.15" customHeight="1" x14ac:dyDescent="0.2">
      <c r="B69" s="943"/>
      <c r="C69" s="192" t="s">
        <v>253</v>
      </c>
      <c r="D69" s="193"/>
      <c r="E69" s="194" t="s">
        <v>465</v>
      </c>
      <c r="F69" s="193"/>
      <c r="G69" s="504"/>
      <c r="H69" s="180">
        <v>41730</v>
      </c>
      <c r="I69" s="181">
        <v>42094</v>
      </c>
      <c r="J69" s="195" t="s">
        <v>413</v>
      </c>
      <c r="K69" s="196">
        <f t="shared" si="17"/>
        <v>2014</v>
      </c>
      <c r="L69" s="495"/>
      <c r="M69" s="496"/>
      <c r="N69" s="496"/>
      <c r="O69" s="496"/>
      <c r="P69" s="496"/>
      <c r="Q69" s="497"/>
      <c r="R69" s="498"/>
      <c r="S69" s="499"/>
      <c r="T69" s="422"/>
      <c r="U69" s="424"/>
      <c r="V69" s="486"/>
      <c r="W69" s="500"/>
      <c r="X69" s="501"/>
      <c r="Y69" s="494"/>
      <c r="Z69" s="201">
        <v>750000</v>
      </c>
      <c r="AA69" s="202">
        <f t="shared" si="18"/>
        <v>0</v>
      </c>
      <c r="AB69" s="202">
        <f t="shared" si="19"/>
        <v>564560.43956043955</v>
      </c>
      <c r="AC69" s="202">
        <f t="shared" si="20"/>
        <v>185439.56043956045</v>
      </c>
      <c r="AD69" s="202">
        <f t="shared" si="21"/>
        <v>0</v>
      </c>
      <c r="AE69" s="501"/>
      <c r="AF69" s="496"/>
      <c r="AG69" s="496"/>
      <c r="AH69" s="499"/>
      <c r="AI69" s="204"/>
    </row>
    <row r="70" spans="2:35" s="65" customFormat="1" ht="40.15" customHeight="1" x14ac:dyDescent="0.2">
      <c r="B70" s="943"/>
      <c r="C70" s="192" t="s">
        <v>253</v>
      </c>
      <c r="D70" s="193"/>
      <c r="E70" s="194" t="s">
        <v>324</v>
      </c>
      <c r="F70" s="193"/>
      <c r="G70" s="504"/>
      <c r="H70" s="180">
        <v>41144</v>
      </c>
      <c r="I70" s="181">
        <v>41912</v>
      </c>
      <c r="J70" s="195" t="s">
        <v>413</v>
      </c>
      <c r="K70" s="196">
        <f t="shared" si="17"/>
        <v>2012</v>
      </c>
      <c r="L70" s="197">
        <f>L6+L14+L17+L18+L25+L27+L50+L51+L58</f>
        <v>58672</v>
      </c>
      <c r="M70" s="198">
        <v>0.61</v>
      </c>
      <c r="N70" s="198">
        <v>0.39</v>
      </c>
      <c r="O70" s="198">
        <f>5637/L70</f>
        <v>9.6076493046086717E-2</v>
      </c>
      <c r="P70" s="198">
        <f>54313/L70</f>
        <v>0.92570561767112081</v>
      </c>
      <c r="Q70" s="199">
        <v>0.33500000000000002</v>
      </c>
      <c r="R70" s="200">
        <v>1</v>
      </c>
      <c r="S70" s="203">
        <v>0</v>
      </c>
      <c r="T70" s="188">
        <v>86580</v>
      </c>
      <c r="U70" s="178">
        <v>86822</v>
      </c>
      <c r="V70" s="205">
        <v>86822</v>
      </c>
      <c r="W70" s="500"/>
      <c r="X70" s="501"/>
      <c r="Y70" s="494"/>
      <c r="Z70" s="201">
        <v>1652740</v>
      </c>
      <c r="AA70" s="202">
        <f t="shared" si="18"/>
        <v>1067394.5833333333</v>
      </c>
      <c r="AB70" s="202">
        <f t="shared" si="19"/>
        <v>585345.41666666674</v>
      </c>
      <c r="AC70" s="202">
        <f t="shared" si="20"/>
        <v>0</v>
      </c>
      <c r="AD70" s="202">
        <f t="shared" si="21"/>
        <v>0</v>
      </c>
      <c r="AE70" s="501"/>
      <c r="AF70" s="496"/>
      <c r="AG70" s="496"/>
      <c r="AH70" s="499"/>
      <c r="AI70" s="204"/>
    </row>
    <row r="71" spans="2:35" s="65" customFormat="1" ht="40.15" customHeight="1" x14ac:dyDescent="0.2">
      <c r="B71" s="943"/>
      <c r="C71" s="177" t="s">
        <v>253</v>
      </c>
      <c r="D71" s="178"/>
      <c r="E71" s="179" t="s">
        <v>324</v>
      </c>
      <c r="F71" s="178"/>
      <c r="G71" s="426"/>
      <c r="H71" s="718">
        <v>42005</v>
      </c>
      <c r="I71" s="719">
        <v>42035</v>
      </c>
      <c r="J71" s="93" t="s">
        <v>231</v>
      </c>
      <c r="K71" s="759">
        <f t="shared" si="17"/>
        <v>2015</v>
      </c>
      <c r="L71" s="503"/>
      <c r="M71" s="418"/>
      <c r="N71" s="418"/>
      <c r="O71" s="418"/>
      <c r="P71" s="418"/>
      <c r="Q71" s="419"/>
      <c r="R71" s="420"/>
      <c r="S71" s="421"/>
      <c r="T71" s="422"/>
      <c r="U71" s="424"/>
      <c r="V71" s="486"/>
      <c r="W71" s="502"/>
      <c r="X71" s="424"/>
      <c r="Y71" s="425"/>
      <c r="Z71" s="104">
        <v>300000</v>
      </c>
      <c r="AA71" s="206">
        <f t="shared" si="18"/>
        <v>0</v>
      </c>
      <c r="AB71" s="206">
        <f t="shared" si="19"/>
        <v>0</v>
      </c>
      <c r="AC71" s="206">
        <f t="shared" si="20"/>
        <v>300000</v>
      </c>
      <c r="AD71" s="206">
        <f t="shared" si="21"/>
        <v>0</v>
      </c>
      <c r="AE71" s="424"/>
      <c r="AF71" s="418"/>
      <c r="AG71" s="418"/>
      <c r="AH71" s="421"/>
      <c r="AI71" s="190"/>
    </row>
    <row r="72" spans="2:35" s="65" customFormat="1" ht="40.15" customHeight="1" x14ac:dyDescent="0.2">
      <c r="B72" s="943"/>
      <c r="C72" s="207" t="s">
        <v>253</v>
      </c>
      <c r="D72" s="208"/>
      <c r="E72" s="209" t="s">
        <v>329</v>
      </c>
      <c r="F72" s="208"/>
      <c r="G72" s="758" t="s">
        <v>419</v>
      </c>
      <c r="H72" s="210">
        <v>41277</v>
      </c>
      <c r="I72" s="211">
        <v>41305</v>
      </c>
      <c r="J72" s="212" t="s">
        <v>413</v>
      </c>
      <c r="K72" s="213">
        <f t="shared" si="17"/>
        <v>2013</v>
      </c>
      <c r="L72" s="214">
        <v>0</v>
      </c>
      <c r="M72" s="215">
        <v>0.5</v>
      </c>
      <c r="N72" s="215">
        <f>IF(M72="","",1-M72)</f>
        <v>0.5</v>
      </c>
      <c r="O72" s="215">
        <v>0.33</v>
      </c>
      <c r="P72" s="215">
        <v>0.33</v>
      </c>
      <c r="Q72" s="216">
        <v>0.33</v>
      </c>
      <c r="R72" s="217">
        <v>1</v>
      </c>
      <c r="S72" s="218">
        <v>0</v>
      </c>
      <c r="T72" s="422"/>
      <c r="U72" s="423"/>
      <c r="V72" s="717"/>
      <c r="W72" s="769"/>
      <c r="X72" s="771"/>
      <c r="Y72" s="774"/>
      <c r="Z72" s="159">
        <v>106270</v>
      </c>
      <c r="AA72" s="206">
        <f t="shared" si="18"/>
        <v>106270</v>
      </c>
      <c r="AB72" s="206">
        <f t="shared" si="19"/>
        <v>0</v>
      </c>
      <c r="AC72" s="206">
        <f t="shared" si="20"/>
        <v>0</v>
      </c>
      <c r="AD72" s="715">
        <f t="shared" si="21"/>
        <v>0</v>
      </c>
      <c r="AE72" s="215">
        <v>1</v>
      </c>
      <c r="AF72" s="215">
        <v>0.33</v>
      </c>
      <c r="AG72" s="215">
        <v>0.33</v>
      </c>
      <c r="AH72" s="218">
        <v>0.33</v>
      </c>
      <c r="AI72" s="219"/>
    </row>
    <row r="73" spans="2:35" s="65" customFormat="1" ht="40.15" customHeight="1" thickBot="1" x14ac:dyDescent="0.25">
      <c r="B73" s="944"/>
      <c r="C73" s="220" t="s">
        <v>253</v>
      </c>
      <c r="D73" s="221"/>
      <c r="E73" s="222" t="s">
        <v>329</v>
      </c>
      <c r="F73" s="221"/>
      <c r="G73" s="757" t="s">
        <v>420</v>
      </c>
      <c r="H73" s="223">
        <v>41671</v>
      </c>
      <c r="I73" s="224">
        <v>41851</v>
      </c>
      <c r="J73" s="225" t="s">
        <v>413</v>
      </c>
      <c r="K73" s="226">
        <f t="shared" si="17"/>
        <v>2014</v>
      </c>
      <c r="L73" s="227">
        <v>0</v>
      </c>
      <c r="M73" s="228">
        <v>0.5</v>
      </c>
      <c r="N73" s="228">
        <f>IF(M73="","",1-M73)</f>
        <v>0.5</v>
      </c>
      <c r="O73" s="228">
        <v>0.33</v>
      </c>
      <c r="P73" s="228">
        <v>0.33</v>
      </c>
      <c r="Q73" s="229">
        <v>0.33</v>
      </c>
      <c r="R73" s="230">
        <v>1</v>
      </c>
      <c r="S73" s="231">
        <v>0</v>
      </c>
      <c r="T73" s="761"/>
      <c r="U73" s="764"/>
      <c r="V73" s="766"/>
      <c r="W73" s="768"/>
      <c r="X73" s="764"/>
      <c r="Y73" s="773"/>
      <c r="Z73" s="493">
        <v>50000</v>
      </c>
      <c r="AA73" s="492">
        <f t="shared" si="18"/>
        <v>0</v>
      </c>
      <c r="AB73" s="492">
        <f t="shared" si="19"/>
        <v>50000</v>
      </c>
      <c r="AC73" s="492">
        <f t="shared" si="20"/>
        <v>0</v>
      </c>
      <c r="AD73" s="492">
        <f t="shared" si="21"/>
        <v>0</v>
      </c>
      <c r="AE73" s="228">
        <v>1</v>
      </c>
      <c r="AF73" s="228">
        <v>0.33</v>
      </c>
      <c r="AG73" s="228">
        <v>0.33</v>
      </c>
      <c r="AH73" s="231">
        <v>0.33</v>
      </c>
      <c r="AI73" s="232"/>
    </row>
    <row r="74" spans="2:35" x14ac:dyDescent="0.2">
      <c r="B74" s="233"/>
      <c r="C74" s="233"/>
      <c r="D74" s="233"/>
      <c r="E74" s="233"/>
      <c r="F74" s="233"/>
      <c r="G74" s="233"/>
      <c r="H74" s="233"/>
      <c r="I74" s="233"/>
      <c r="J74" s="233"/>
      <c r="K74" s="233"/>
      <c r="L74" s="233"/>
      <c r="M74" s="234"/>
      <c r="N74" s="234"/>
      <c r="O74" s="234"/>
      <c r="P74" s="234"/>
      <c r="Q74" s="234"/>
      <c r="R74" s="235"/>
      <c r="S74" s="236"/>
      <c r="T74" s="233"/>
      <c r="U74" s="233"/>
      <c r="V74" s="233"/>
      <c r="W74" s="233"/>
      <c r="X74" s="233"/>
      <c r="Y74" s="233"/>
      <c r="Z74" s="234"/>
      <c r="AA74" s="234"/>
      <c r="AB74" s="234"/>
      <c r="AC74" s="234"/>
      <c r="AD74" s="234"/>
      <c r="AE74" s="234"/>
      <c r="AF74" s="234"/>
      <c r="AG74" s="234"/>
      <c r="AH74" s="234"/>
      <c r="AI74" s="233"/>
    </row>
    <row r="75" spans="2:35" x14ac:dyDescent="0.2">
      <c r="B75" s="233"/>
      <c r="C75" s="233"/>
      <c r="D75" s="233"/>
      <c r="E75" s="233"/>
      <c r="F75" s="233"/>
      <c r="G75" s="233"/>
      <c r="H75" s="233"/>
      <c r="I75" s="233"/>
      <c r="J75" s="233"/>
      <c r="K75" s="233"/>
      <c r="L75" s="233"/>
      <c r="M75" s="234"/>
      <c r="N75" s="234"/>
      <c r="O75" s="234"/>
      <c r="P75" s="234"/>
      <c r="Q75" s="234"/>
      <c r="R75" s="235"/>
      <c r="S75" s="236"/>
      <c r="T75" s="233"/>
      <c r="U75" s="233"/>
      <c r="V75" s="233"/>
      <c r="W75" s="233"/>
      <c r="X75" s="233"/>
      <c r="Y75" s="233"/>
      <c r="Z75" s="234"/>
      <c r="AA75" s="234"/>
      <c r="AB75" s="234"/>
      <c r="AC75" s="234"/>
      <c r="AD75" s="234"/>
      <c r="AE75" s="234"/>
      <c r="AF75" s="234"/>
      <c r="AG75" s="234"/>
      <c r="AH75" s="234"/>
      <c r="AI75" s="233"/>
    </row>
    <row r="76" spans="2:35" x14ac:dyDescent="0.2">
      <c r="B76" s="233"/>
      <c r="C76" s="233"/>
      <c r="D76" s="233"/>
      <c r="E76" s="233"/>
      <c r="F76" s="233"/>
      <c r="G76" s="233"/>
      <c r="H76" s="233"/>
      <c r="I76" s="233"/>
      <c r="J76" s="233"/>
      <c r="K76" s="233"/>
      <c r="L76" s="233"/>
      <c r="M76" s="238"/>
      <c r="N76" s="234"/>
      <c r="O76" s="234"/>
      <c r="P76" s="234"/>
      <c r="Q76" s="234"/>
      <c r="R76" s="235"/>
      <c r="S76" s="236"/>
      <c r="T76" s="233"/>
      <c r="U76" s="233"/>
      <c r="V76" s="233"/>
      <c r="W76" s="233"/>
      <c r="X76" s="233"/>
      <c r="Y76" s="233"/>
      <c r="Z76" s="234"/>
      <c r="AA76" s="234"/>
      <c r="AB76" s="234"/>
      <c r="AC76" s="234"/>
      <c r="AD76" s="234"/>
      <c r="AE76" s="234"/>
      <c r="AF76" s="234"/>
      <c r="AG76" s="234"/>
      <c r="AH76" s="234"/>
      <c r="AI76" s="233"/>
    </row>
    <row r="77" spans="2:35" x14ac:dyDescent="0.2">
      <c r="B77" s="233"/>
      <c r="C77" s="233"/>
      <c r="D77" s="233"/>
      <c r="E77" s="233"/>
      <c r="F77" s="233"/>
      <c r="G77" s="233"/>
      <c r="H77" s="233"/>
      <c r="I77" s="233"/>
      <c r="J77" s="233"/>
      <c r="K77" s="233"/>
      <c r="L77" s="233"/>
      <c r="M77" s="234"/>
      <c r="N77" s="234"/>
      <c r="O77" s="234"/>
      <c r="P77" s="234"/>
      <c r="Q77" s="234"/>
      <c r="R77" s="235"/>
      <c r="S77" s="236"/>
      <c r="T77" s="233"/>
      <c r="U77" s="233"/>
      <c r="V77" s="233"/>
      <c r="W77" s="233"/>
      <c r="X77" s="233"/>
      <c r="Y77" s="233"/>
      <c r="Z77" s="234"/>
      <c r="AA77" s="234"/>
      <c r="AB77" s="234"/>
      <c r="AC77" s="234"/>
      <c r="AD77" s="234"/>
      <c r="AE77" s="234"/>
      <c r="AF77" s="234"/>
      <c r="AG77" s="234"/>
      <c r="AH77" s="234"/>
      <c r="AI77" s="233"/>
    </row>
    <row r="78" spans="2:35" x14ac:dyDescent="0.2">
      <c r="C78" s="233"/>
      <c r="D78" s="233"/>
      <c r="E78" s="233"/>
      <c r="F78" s="233"/>
      <c r="G78" s="233"/>
      <c r="H78" s="233"/>
      <c r="I78" s="233"/>
      <c r="J78" s="233"/>
      <c r="K78" s="233"/>
      <c r="L78" s="233"/>
      <c r="M78" s="234"/>
      <c r="N78" s="234"/>
      <c r="O78" s="234"/>
      <c r="P78" s="234"/>
      <c r="Q78" s="234"/>
      <c r="R78" s="235"/>
      <c r="S78" s="236"/>
      <c r="T78" s="233"/>
      <c r="U78" s="233"/>
      <c r="V78" s="233"/>
      <c r="W78" s="233"/>
      <c r="X78" s="233"/>
      <c r="Y78" s="233"/>
      <c r="Z78" s="234"/>
      <c r="AA78" s="234"/>
      <c r="AB78" s="234"/>
      <c r="AC78" s="234"/>
      <c r="AD78" s="234"/>
      <c r="AE78" s="234"/>
      <c r="AF78" s="234"/>
      <c r="AG78" s="234"/>
      <c r="AH78" s="234"/>
      <c r="AI78" s="233"/>
    </row>
    <row r="79" spans="2:35" x14ac:dyDescent="0.2">
      <c r="C79" s="233"/>
      <c r="D79" s="233"/>
      <c r="E79" s="233"/>
      <c r="F79" s="233"/>
      <c r="G79" s="233"/>
      <c r="H79" s="233"/>
      <c r="I79" s="233"/>
      <c r="J79" s="233"/>
      <c r="K79" s="233"/>
      <c r="L79" s="233"/>
      <c r="M79" s="234"/>
      <c r="N79" s="234"/>
      <c r="O79" s="234"/>
      <c r="P79" s="234"/>
      <c r="Q79" s="234"/>
      <c r="R79" s="235"/>
      <c r="S79" s="236"/>
      <c r="T79" s="233"/>
      <c r="U79" s="233"/>
      <c r="V79" s="233"/>
      <c r="W79" s="233"/>
      <c r="X79" s="233"/>
      <c r="Y79" s="233"/>
      <c r="Z79" s="234"/>
      <c r="AA79" s="234"/>
      <c r="AB79" s="234"/>
      <c r="AC79" s="234"/>
      <c r="AD79" s="234"/>
      <c r="AE79" s="234"/>
      <c r="AF79" s="234"/>
      <c r="AG79" s="234"/>
      <c r="AH79" s="234"/>
      <c r="AI79" s="233"/>
    </row>
    <row r="80" spans="2:35" x14ac:dyDescent="0.2">
      <c r="C80" s="233"/>
      <c r="D80" s="233"/>
      <c r="E80" s="233"/>
      <c r="F80" s="233"/>
      <c r="G80" s="233"/>
      <c r="H80" s="233"/>
      <c r="I80" s="233"/>
      <c r="J80" s="233"/>
      <c r="K80" s="233"/>
      <c r="L80" s="233"/>
      <c r="M80" s="234"/>
      <c r="N80" s="234"/>
      <c r="O80" s="234"/>
      <c r="P80" s="234"/>
      <c r="Q80" s="234"/>
      <c r="R80" s="235"/>
      <c r="S80" s="236"/>
      <c r="T80" s="233"/>
      <c r="U80" s="233"/>
      <c r="V80" s="233"/>
      <c r="W80" s="233"/>
      <c r="X80" s="233"/>
      <c r="Y80" s="233"/>
      <c r="Z80" s="234"/>
      <c r="AA80" s="234"/>
      <c r="AB80" s="234"/>
      <c r="AC80" s="234"/>
      <c r="AD80" s="234"/>
      <c r="AE80" s="234"/>
      <c r="AF80" s="234"/>
      <c r="AG80" s="234"/>
      <c r="AH80" s="234"/>
      <c r="AI80" s="233"/>
    </row>
    <row r="81" spans="3:35" x14ac:dyDescent="0.2">
      <c r="C81" s="233" t="s">
        <v>421</v>
      </c>
      <c r="D81" s="233"/>
      <c r="E81" s="233"/>
      <c r="F81" s="233"/>
      <c r="G81" s="233"/>
      <c r="H81" s="233"/>
      <c r="I81" s="233"/>
      <c r="J81" s="233"/>
      <c r="K81" s="233"/>
      <c r="L81" s="233"/>
      <c r="M81" s="234"/>
      <c r="N81" s="234"/>
      <c r="O81" s="234"/>
      <c r="P81" s="234"/>
      <c r="Q81" s="234"/>
      <c r="R81" s="235"/>
      <c r="S81" s="236"/>
      <c r="T81" s="233"/>
      <c r="U81" s="233"/>
      <c r="V81" s="233"/>
      <c r="W81" s="233"/>
      <c r="X81" s="233"/>
      <c r="Y81" s="233"/>
      <c r="Z81" s="234"/>
      <c r="AA81" s="234"/>
      <c r="AB81" s="234"/>
      <c r="AC81" s="234"/>
      <c r="AD81" s="234"/>
      <c r="AE81" s="234"/>
      <c r="AF81" s="234"/>
      <c r="AG81" s="234"/>
      <c r="AH81" s="234"/>
      <c r="AI81" s="233"/>
    </row>
    <row r="82" spans="3:35" x14ac:dyDescent="0.2">
      <c r="C82" s="233" t="s">
        <v>231</v>
      </c>
      <c r="D82" s="233"/>
      <c r="E82" s="233"/>
      <c r="F82" s="233"/>
      <c r="G82" s="233"/>
      <c r="H82" s="233"/>
      <c r="I82" s="233"/>
      <c r="J82" s="233"/>
      <c r="K82" s="233"/>
      <c r="L82" s="233"/>
      <c r="M82" s="234"/>
      <c r="N82" s="234"/>
      <c r="O82" s="234"/>
      <c r="P82" s="234"/>
      <c r="Q82" s="234"/>
      <c r="R82" s="235"/>
      <c r="S82" s="236"/>
      <c r="T82" s="233"/>
      <c r="U82" s="233"/>
      <c r="V82" s="233"/>
      <c r="W82" s="233"/>
      <c r="X82" s="233"/>
      <c r="Y82" s="233"/>
      <c r="Z82" s="234"/>
      <c r="AA82" s="234"/>
      <c r="AB82" s="234"/>
      <c r="AC82" s="234"/>
      <c r="AD82" s="234"/>
      <c r="AE82" s="234"/>
      <c r="AF82" s="234"/>
      <c r="AG82" s="234"/>
      <c r="AH82" s="234"/>
      <c r="AI82" s="233"/>
    </row>
    <row r="83" spans="3:35" x14ac:dyDescent="0.2">
      <c r="C83" s="233" t="s">
        <v>413</v>
      </c>
      <c r="D83" s="233"/>
      <c r="E83" s="233"/>
      <c r="F83" s="233"/>
      <c r="G83" s="233"/>
      <c r="H83" s="233"/>
      <c r="I83" s="233"/>
      <c r="J83" s="233"/>
      <c r="K83" s="233"/>
      <c r="L83" s="233"/>
      <c r="M83" s="234"/>
      <c r="N83" s="234"/>
      <c r="O83" s="234"/>
      <c r="P83" s="234"/>
      <c r="Q83" s="234"/>
      <c r="R83" s="235"/>
      <c r="S83" s="236"/>
      <c r="T83" s="233"/>
      <c r="U83" s="233"/>
      <c r="V83" s="233"/>
      <c r="W83" s="233"/>
      <c r="X83" s="233"/>
      <c r="Y83" s="233"/>
      <c r="Z83" s="234"/>
      <c r="AA83" s="234"/>
      <c r="AB83" s="234"/>
      <c r="AC83" s="234"/>
      <c r="AD83" s="234"/>
      <c r="AE83" s="234"/>
      <c r="AF83" s="234"/>
      <c r="AG83" s="234"/>
      <c r="AH83" s="234"/>
      <c r="AI83" s="233"/>
    </row>
    <row r="84" spans="3:35" ht="51" x14ac:dyDescent="0.2">
      <c r="C84" s="233" t="s">
        <v>422</v>
      </c>
      <c r="D84" s="233"/>
      <c r="E84" s="233"/>
      <c r="F84" s="233"/>
      <c r="G84" s="233"/>
      <c r="H84" s="233"/>
      <c r="I84" s="239"/>
      <c r="J84" s="233"/>
      <c r="K84" s="233"/>
      <c r="L84" s="233"/>
      <c r="M84" s="234"/>
      <c r="N84" s="234"/>
      <c r="O84" s="234"/>
      <c r="P84" s="234"/>
      <c r="Q84" s="234"/>
      <c r="R84" s="235"/>
      <c r="S84" s="236"/>
      <c r="T84" s="233"/>
      <c r="U84" s="233"/>
      <c r="V84" s="233"/>
      <c r="W84" s="233" t="s">
        <v>423</v>
      </c>
      <c r="X84" s="233"/>
      <c r="Y84" s="233"/>
      <c r="Z84" s="234"/>
      <c r="AA84" s="234"/>
      <c r="AB84" s="234"/>
      <c r="AC84" s="234"/>
      <c r="AD84" s="234"/>
      <c r="AE84" s="234"/>
      <c r="AF84" s="234"/>
      <c r="AG84" s="234"/>
      <c r="AH84" s="234"/>
      <c r="AI84" s="233"/>
    </row>
    <row r="85" spans="3:35" x14ac:dyDescent="0.2">
      <c r="C85" s="233"/>
      <c r="D85" s="233"/>
      <c r="E85" s="233"/>
      <c r="F85" s="233"/>
      <c r="G85" s="233"/>
      <c r="H85" s="233"/>
      <c r="I85" s="239"/>
      <c r="J85" s="233"/>
      <c r="K85" s="233"/>
      <c r="L85" s="233"/>
      <c r="M85" s="234"/>
      <c r="N85" s="234"/>
      <c r="O85" s="234"/>
      <c r="P85" s="234"/>
      <c r="Q85" s="234"/>
      <c r="R85" s="235"/>
      <c r="S85" s="236"/>
      <c r="T85" s="233"/>
      <c r="U85" s="233"/>
      <c r="V85" s="233"/>
      <c r="W85" s="233"/>
      <c r="X85" s="233"/>
      <c r="Y85" s="233"/>
      <c r="Z85" s="234"/>
      <c r="AA85" s="234"/>
      <c r="AB85" s="234"/>
      <c r="AC85" s="234"/>
      <c r="AD85" s="234"/>
      <c r="AE85" s="234"/>
      <c r="AF85" s="234"/>
      <c r="AG85" s="234"/>
      <c r="AH85" s="234"/>
      <c r="AI85" s="233"/>
    </row>
    <row r="86" spans="3:35" x14ac:dyDescent="0.2">
      <c r="C86" s="233"/>
      <c r="D86" s="233"/>
      <c r="E86" s="233"/>
      <c r="F86" s="233"/>
      <c r="G86" s="233"/>
      <c r="H86" s="233"/>
      <c r="I86" s="239"/>
      <c r="J86" s="233"/>
      <c r="K86" s="233"/>
      <c r="L86" s="233"/>
      <c r="M86" s="234"/>
      <c r="N86" s="234"/>
      <c r="O86" s="234"/>
      <c r="P86" s="234"/>
      <c r="Q86" s="234"/>
      <c r="R86" s="235"/>
      <c r="S86" s="236"/>
      <c r="T86" s="233"/>
      <c r="U86" s="233"/>
      <c r="V86" s="233"/>
      <c r="W86" s="233"/>
      <c r="X86" s="233"/>
      <c r="Y86" s="233"/>
      <c r="Z86" s="234"/>
      <c r="AA86" s="234"/>
      <c r="AB86" s="234"/>
      <c r="AC86" s="234"/>
      <c r="AD86" s="234"/>
      <c r="AE86" s="234"/>
      <c r="AF86" s="234"/>
      <c r="AG86" s="234"/>
      <c r="AH86" s="234"/>
      <c r="AI86" s="233"/>
    </row>
    <row r="87" spans="3:35" x14ac:dyDescent="0.2">
      <c r="C87" s="233"/>
      <c r="D87" s="233"/>
      <c r="E87" s="233"/>
      <c r="F87" s="233"/>
      <c r="G87" s="233"/>
      <c r="H87" s="233"/>
      <c r="I87" s="239"/>
      <c r="J87" s="233"/>
      <c r="K87" s="233"/>
      <c r="L87" s="233"/>
      <c r="M87" s="234"/>
      <c r="N87" s="234"/>
      <c r="O87" s="234"/>
      <c r="P87" s="234"/>
      <c r="Q87" s="234"/>
      <c r="R87" s="235"/>
      <c r="S87" s="236"/>
      <c r="T87" s="233"/>
      <c r="U87" s="233"/>
      <c r="V87" s="233"/>
      <c r="W87" s="233"/>
      <c r="X87" s="233"/>
      <c r="Y87" s="233"/>
      <c r="Z87" s="234"/>
      <c r="AA87" s="234"/>
      <c r="AB87" s="234"/>
      <c r="AC87" s="234"/>
      <c r="AD87" s="234"/>
      <c r="AE87" s="234"/>
      <c r="AF87" s="234"/>
      <c r="AG87" s="234"/>
      <c r="AH87" s="234"/>
      <c r="AI87" s="233"/>
    </row>
    <row r="88" spans="3:35" x14ac:dyDescent="0.2">
      <c r="C88" s="233"/>
      <c r="D88" s="233"/>
      <c r="E88" s="233"/>
      <c r="F88" s="233"/>
      <c r="G88" s="233"/>
      <c r="H88" s="233"/>
      <c r="I88" s="239"/>
      <c r="J88" s="233"/>
      <c r="K88" s="233"/>
      <c r="L88" s="233"/>
      <c r="M88" s="234"/>
      <c r="N88" s="234"/>
      <c r="O88" s="234"/>
      <c r="P88" s="234"/>
      <c r="Q88" s="234"/>
      <c r="R88" s="235"/>
      <c r="S88" s="236"/>
      <c r="T88" s="233"/>
      <c r="U88" s="233"/>
      <c r="V88" s="233"/>
      <c r="W88" s="233"/>
      <c r="X88" s="233"/>
      <c r="Y88" s="233"/>
      <c r="Z88" s="234"/>
      <c r="AA88" s="234"/>
      <c r="AB88" s="234"/>
      <c r="AC88" s="234"/>
      <c r="AD88" s="234"/>
      <c r="AE88" s="234"/>
      <c r="AF88" s="234"/>
      <c r="AG88" s="234"/>
      <c r="AH88" s="234"/>
      <c r="AI88" s="233"/>
    </row>
    <row r="89" spans="3:35" x14ac:dyDescent="0.2">
      <c r="C89" s="233"/>
      <c r="D89" s="233"/>
      <c r="E89" s="233"/>
      <c r="F89" s="233"/>
      <c r="G89" s="233"/>
      <c r="H89" s="233"/>
      <c r="I89" s="239"/>
      <c r="J89" s="233"/>
      <c r="K89" s="233"/>
      <c r="L89" s="233"/>
      <c r="M89" s="234"/>
      <c r="N89" s="234"/>
      <c r="O89" s="234"/>
      <c r="P89" s="234"/>
      <c r="Q89" s="234"/>
      <c r="R89" s="235"/>
      <c r="S89" s="236"/>
      <c r="T89" s="233"/>
      <c r="U89" s="233"/>
      <c r="V89" s="233"/>
      <c r="W89" s="233"/>
      <c r="X89" s="233"/>
      <c r="Y89" s="233"/>
      <c r="Z89" s="234"/>
      <c r="AA89" s="234"/>
      <c r="AB89" s="234"/>
      <c r="AC89" s="234"/>
      <c r="AD89" s="234"/>
      <c r="AE89" s="234"/>
      <c r="AF89" s="234"/>
      <c r="AG89" s="234"/>
      <c r="AH89" s="234"/>
      <c r="AI89" s="233"/>
    </row>
    <row r="90" spans="3:35" x14ac:dyDescent="0.2">
      <c r="C90" s="233"/>
      <c r="D90" s="233"/>
      <c r="E90" s="233"/>
      <c r="F90" s="233"/>
      <c r="G90" s="233"/>
      <c r="H90" s="233"/>
      <c r="I90" s="239"/>
      <c r="J90" s="233"/>
      <c r="K90" s="233"/>
      <c r="L90" s="233"/>
      <c r="M90" s="234"/>
      <c r="N90" s="234"/>
      <c r="O90" s="234"/>
      <c r="P90" s="234"/>
      <c r="Q90" s="234"/>
      <c r="R90" s="235"/>
      <c r="S90" s="236"/>
      <c r="T90" s="233"/>
      <c r="U90" s="233"/>
      <c r="V90" s="233"/>
      <c r="W90" s="233"/>
      <c r="X90" s="233"/>
      <c r="Y90" s="233"/>
      <c r="Z90" s="234"/>
      <c r="AA90" s="234"/>
      <c r="AB90" s="234"/>
      <c r="AC90" s="234"/>
      <c r="AD90" s="234"/>
      <c r="AE90" s="234"/>
      <c r="AF90" s="234"/>
      <c r="AG90" s="234"/>
      <c r="AH90" s="234"/>
      <c r="AI90" s="233"/>
    </row>
    <row r="91" spans="3:35" x14ac:dyDescent="0.2">
      <c r="C91" s="233"/>
      <c r="D91" s="233"/>
      <c r="E91" s="233"/>
      <c r="F91" s="233"/>
      <c r="G91" s="233"/>
      <c r="H91" s="233"/>
      <c r="I91" s="239"/>
      <c r="J91" s="233"/>
      <c r="K91" s="233"/>
      <c r="L91" s="233"/>
      <c r="M91" s="234"/>
      <c r="N91" s="234"/>
      <c r="O91" s="234"/>
      <c r="P91" s="234"/>
      <c r="Q91" s="234"/>
      <c r="R91" s="235"/>
      <c r="S91" s="236"/>
      <c r="T91" s="233"/>
      <c r="U91" s="233"/>
      <c r="V91" s="233"/>
      <c r="W91" s="233"/>
      <c r="X91" s="233"/>
      <c r="Y91" s="233"/>
      <c r="Z91" s="234"/>
      <c r="AA91" s="234"/>
      <c r="AB91" s="234"/>
      <c r="AC91" s="234"/>
      <c r="AD91" s="234"/>
      <c r="AE91" s="234"/>
      <c r="AF91" s="234"/>
      <c r="AG91" s="234"/>
      <c r="AH91" s="234"/>
      <c r="AI91" s="233"/>
    </row>
    <row r="92" spans="3:35" x14ac:dyDescent="0.2">
      <c r="C92" s="233"/>
      <c r="D92" s="233"/>
      <c r="E92" s="233"/>
      <c r="F92" s="233"/>
      <c r="G92" s="233"/>
      <c r="H92" s="233"/>
      <c r="I92" s="239"/>
      <c r="J92" s="233"/>
      <c r="K92" s="233"/>
      <c r="L92" s="233"/>
      <c r="M92" s="234"/>
      <c r="N92" s="234"/>
      <c r="O92" s="234"/>
      <c r="P92" s="234"/>
      <c r="Q92" s="234"/>
      <c r="R92" s="235"/>
      <c r="S92" s="236"/>
      <c r="T92" s="233"/>
      <c r="U92" s="233"/>
      <c r="V92" s="233"/>
      <c r="W92" s="233"/>
      <c r="X92" s="233"/>
      <c r="Y92" s="233"/>
      <c r="Z92" s="234"/>
      <c r="AA92" s="234"/>
      <c r="AB92" s="234"/>
      <c r="AC92" s="234"/>
      <c r="AD92" s="234"/>
      <c r="AE92" s="234"/>
      <c r="AF92" s="234"/>
      <c r="AG92" s="234"/>
      <c r="AH92" s="234"/>
      <c r="AI92" s="233"/>
    </row>
    <row r="93" spans="3:35" x14ac:dyDescent="0.2">
      <c r="C93" s="233"/>
      <c r="D93" s="233"/>
      <c r="E93" s="233"/>
      <c r="F93" s="233"/>
      <c r="G93" s="233"/>
      <c r="H93" s="233"/>
      <c r="I93" s="239"/>
      <c r="J93" s="233"/>
      <c r="K93" s="233"/>
      <c r="L93" s="233"/>
      <c r="M93" s="234"/>
      <c r="N93" s="234"/>
      <c r="O93" s="234"/>
      <c r="P93" s="234"/>
      <c r="Q93" s="234"/>
      <c r="R93" s="235"/>
      <c r="S93" s="236"/>
      <c r="T93" s="233"/>
      <c r="U93" s="233"/>
      <c r="V93" s="233"/>
      <c r="W93" s="233"/>
      <c r="X93" s="233"/>
      <c r="Y93" s="233"/>
      <c r="Z93" s="234"/>
      <c r="AA93" s="234"/>
      <c r="AB93" s="234"/>
      <c r="AC93" s="234"/>
      <c r="AD93" s="234"/>
      <c r="AE93" s="234"/>
      <c r="AF93" s="234"/>
      <c r="AG93" s="234"/>
      <c r="AH93" s="234"/>
      <c r="AI93" s="233"/>
    </row>
    <row r="94" spans="3:35" x14ac:dyDescent="0.2">
      <c r="C94" s="233"/>
      <c r="D94" s="233"/>
      <c r="E94" s="233"/>
      <c r="F94" s="233"/>
      <c r="G94" s="233"/>
      <c r="H94" s="233"/>
      <c r="I94" s="239"/>
      <c r="J94" s="233"/>
      <c r="K94" s="233"/>
      <c r="L94" s="233"/>
      <c r="M94" s="234"/>
      <c r="N94" s="234"/>
      <c r="O94" s="234"/>
      <c r="P94" s="234"/>
      <c r="Q94" s="234"/>
      <c r="R94" s="235"/>
      <c r="S94" s="236"/>
      <c r="T94" s="233"/>
      <c r="U94" s="233"/>
      <c r="V94" s="233"/>
      <c r="W94" s="233"/>
      <c r="X94" s="233"/>
      <c r="Y94" s="233"/>
      <c r="Z94" s="234"/>
      <c r="AA94" s="234"/>
      <c r="AB94" s="234"/>
      <c r="AC94" s="234"/>
      <c r="AD94" s="234"/>
      <c r="AE94" s="234"/>
      <c r="AF94" s="234"/>
      <c r="AG94" s="234"/>
      <c r="AH94" s="234"/>
      <c r="AI94" s="233"/>
    </row>
    <row r="95" spans="3:35" x14ac:dyDescent="0.2">
      <c r="C95" s="233"/>
      <c r="D95" s="233"/>
      <c r="E95" s="233"/>
      <c r="F95" s="233"/>
      <c r="G95" s="233"/>
      <c r="H95" s="233"/>
      <c r="I95" s="239"/>
      <c r="J95" s="233"/>
      <c r="K95" s="233"/>
      <c r="L95" s="233"/>
      <c r="M95" s="234"/>
      <c r="N95" s="234"/>
      <c r="O95" s="234"/>
      <c r="P95" s="234"/>
      <c r="Q95" s="234"/>
      <c r="R95" s="235"/>
      <c r="S95" s="236"/>
      <c r="T95" s="233"/>
      <c r="U95" s="233"/>
      <c r="V95" s="233"/>
      <c r="W95" s="233"/>
      <c r="X95" s="233"/>
      <c r="Y95" s="233"/>
      <c r="Z95" s="234"/>
      <c r="AA95" s="234"/>
      <c r="AB95" s="234"/>
      <c r="AC95" s="234"/>
      <c r="AD95" s="234"/>
      <c r="AE95" s="234"/>
      <c r="AF95" s="234"/>
      <c r="AG95" s="234"/>
      <c r="AH95" s="234"/>
      <c r="AI95" s="233"/>
    </row>
    <row r="96" spans="3:35" x14ac:dyDescent="0.2">
      <c r="C96" s="233"/>
      <c r="D96" s="233"/>
      <c r="E96" s="233"/>
      <c r="F96" s="233"/>
      <c r="G96" s="233"/>
      <c r="H96" s="233"/>
      <c r="I96" s="239"/>
      <c r="J96" s="233"/>
      <c r="K96" s="233"/>
      <c r="L96" s="233"/>
      <c r="M96" s="234"/>
      <c r="N96" s="234"/>
      <c r="O96" s="234"/>
      <c r="P96" s="234"/>
      <c r="Q96" s="234"/>
      <c r="R96" s="235"/>
      <c r="S96" s="236"/>
      <c r="T96" s="233"/>
      <c r="U96" s="233"/>
      <c r="V96" s="233"/>
      <c r="W96" s="233"/>
      <c r="X96" s="233"/>
      <c r="Y96" s="233"/>
      <c r="Z96" s="234"/>
      <c r="AA96" s="234"/>
      <c r="AB96" s="234"/>
      <c r="AC96" s="234"/>
      <c r="AD96" s="234"/>
      <c r="AE96" s="234"/>
      <c r="AF96" s="234"/>
      <c r="AG96" s="234"/>
      <c r="AH96" s="234"/>
      <c r="AI96" s="233"/>
    </row>
    <row r="97" spans="3:35" x14ac:dyDescent="0.2">
      <c r="C97" s="233"/>
      <c r="D97" s="233"/>
      <c r="E97" s="233"/>
      <c r="F97" s="233"/>
      <c r="G97" s="233"/>
      <c r="H97" s="233"/>
      <c r="I97" s="239"/>
      <c r="J97" s="233"/>
      <c r="K97" s="233"/>
      <c r="L97" s="233"/>
      <c r="M97" s="234"/>
      <c r="N97" s="234"/>
      <c r="O97" s="234"/>
      <c r="P97" s="234"/>
      <c r="Q97" s="234"/>
      <c r="R97" s="235"/>
      <c r="S97" s="236"/>
      <c r="T97" s="233"/>
      <c r="U97" s="233"/>
      <c r="V97" s="233"/>
      <c r="W97" s="233"/>
      <c r="X97" s="233"/>
      <c r="Y97" s="233"/>
      <c r="Z97" s="234"/>
      <c r="AA97" s="234"/>
      <c r="AB97" s="234"/>
      <c r="AC97" s="234"/>
      <c r="AD97" s="234"/>
      <c r="AE97" s="234"/>
      <c r="AF97" s="234"/>
      <c r="AG97" s="234"/>
      <c r="AH97" s="234"/>
      <c r="AI97" s="233"/>
    </row>
    <row r="98" spans="3:35" x14ac:dyDescent="0.2">
      <c r="C98" s="233"/>
      <c r="D98" s="233"/>
      <c r="E98" s="233"/>
      <c r="F98" s="233"/>
      <c r="G98" s="233"/>
      <c r="H98" s="233"/>
      <c r="I98" s="239"/>
      <c r="J98" s="233"/>
      <c r="K98" s="233"/>
      <c r="L98" s="233"/>
      <c r="M98" s="234"/>
      <c r="N98" s="234"/>
      <c r="O98" s="234"/>
      <c r="P98" s="234"/>
      <c r="Q98" s="234"/>
      <c r="R98" s="235"/>
      <c r="S98" s="236"/>
      <c r="T98" s="233"/>
      <c r="U98" s="233"/>
      <c r="V98" s="233"/>
      <c r="W98" s="233"/>
      <c r="X98" s="233"/>
      <c r="Y98" s="233"/>
      <c r="Z98" s="234"/>
      <c r="AA98" s="234"/>
      <c r="AB98" s="234"/>
      <c r="AC98" s="234"/>
      <c r="AD98" s="234"/>
      <c r="AE98" s="234"/>
      <c r="AF98" s="234"/>
      <c r="AG98" s="234"/>
      <c r="AH98" s="234"/>
      <c r="AI98" s="233"/>
    </row>
    <row r="99" spans="3:35" x14ac:dyDescent="0.2">
      <c r="C99" s="233"/>
      <c r="D99" s="233"/>
      <c r="E99" s="233"/>
      <c r="F99" s="233"/>
      <c r="G99" s="233"/>
      <c r="H99" s="233"/>
      <c r="I99" s="233"/>
      <c r="J99" s="233"/>
      <c r="K99" s="233"/>
      <c r="L99" s="233"/>
      <c r="M99" s="234"/>
      <c r="N99" s="234"/>
      <c r="O99" s="234"/>
      <c r="P99" s="234"/>
      <c r="Q99" s="234"/>
      <c r="R99" s="235"/>
      <c r="S99" s="236"/>
      <c r="T99" s="233"/>
      <c r="U99" s="233"/>
      <c r="V99" s="233"/>
      <c r="W99" s="233"/>
      <c r="X99" s="233"/>
      <c r="Y99" s="233"/>
      <c r="Z99" s="234"/>
      <c r="AA99" s="234"/>
      <c r="AB99" s="234"/>
      <c r="AC99" s="234"/>
      <c r="AD99" s="234"/>
      <c r="AE99" s="234"/>
      <c r="AF99" s="234"/>
      <c r="AG99" s="234"/>
      <c r="AH99" s="234"/>
      <c r="AI99" s="233"/>
    </row>
    <row r="100" spans="3:35" x14ac:dyDescent="0.2">
      <c r="C100" s="233"/>
      <c r="D100" s="233"/>
      <c r="E100" s="233"/>
      <c r="F100" s="233"/>
      <c r="G100" s="233"/>
      <c r="H100" s="233"/>
      <c r="I100" s="233"/>
      <c r="J100" s="233"/>
      <c r="K100" s="233"/>
      <c r="L100" s="233"/>
      <c r="M100" s="234"/>
      <c r="N100" s="234"/>
      <c r="O100" s="234"/>
      <c r="P100" s="234"/>
      <c r="Q100" s="234"/>
      <c r="R100" s="235"/>
      <c r="S100" s="236"/>
      <c r="T100" s="233"/>
      <c r="U100" s="233"/>
      <c r="V100" s="233"/>
      <c r="W100" s="233"/>
      <c r="X100" s="233"/>
      <c r="Y100" s="233"/>
      <c r="Z100" s="234"/>
      <c r="AA100" s="234"/>
      <c r="AB100" s="234"/>
      <c r="AC100" s="234"/>
      <c r="AD100" s="234"/>
      <c r="AE100" s="234"/>
      <c r="AF100" s="234"/>
      <c r="AG100" s="234"/>
      <c r="AH100" s="234"/>
      <c r="AI100" s="233"/>
    </row>
    <row r="101" spans="3:35" x14ac:dyDescent="0.2">
      <c r="C101" s="233"/>
      <c r="D101" s="233"/>
      <c r="E101" s="233"/>
      <c r="F101" s="233"/>
      <c r="G101" s="233"/>
      <c r="H101" s="233"/>
      <c r="I101" s="233"/>
      <c r="J101" s="233"/>
      <c r="K101" s="233"/>
      <c r="L101" s="233"/>
      <c r="M101" s="234"/>
      <c r="N101" s="234"/>
      <c r="O101" s="234"/>
      <c r="P101" s="234"/>
      <c r="Q101" s="234"/>
      <c r="R101" s="235"/>
      <c r="S101" s="236"/>
      <c r="T101" s="233"/>
      <c r="U101" s="233"/>
      <c r="V101" s="233"/>
      <c r="W101" s="233"/>
      <c r="X101" s="233"/>
      <c r="Y101" s="233"/>
      <c r="Z101" s="234"/>
      <c r="AA101" s="234"/>
      <c r="AB101" s="234"/>
      <c r="AC101" s="234"/>
      <c r="AD101" s="234"/>
      <c r="AE101" s="234"/>
      <c r="AF101" s="234"/>
      <c r="AG101" s="234"/>
      <c r="AH101" s="234"/>
      <c r="AI101" s="233"/>
    </row>
    <row r="102" spans="3:35" x14ac:dyDescent="0.2">
      <c r="C102" s="233"/>
      <c r="D102" s="233"/>
      <c r="E102" s="233"/>
      <c r="F102" s="233"/>
      <c r="G102" s="233"/>
      <c r="H102" s="233"/>
      <c r="I102" s="233"/>
      <c r="J102" s="233"/>
      <c r="K102" s="233"/>
      <c r="L102" s="233"/>
      <c r="M102" s="234"/>
      <c r="N102" s="234"/>
      <c r="O102" s="234"/>
      <c r="P102" s="234"/>
      <c r="Q102" s="234"/>
      <c r="R102" s="235"/>
      <c r="S102" s="236"/>
      <c r="T102" s="233"/>
      <c r="U102" s="233"/>
      <c r="V102" s="233"/>
      <c r="W102" s="233"/>
      <c r="X102" s="233"/>
      <c r="Y102" s="233"/>
      <c r="Z102" s="234"/>
      <c r="AA102" s="234"/>
      <c r="AB102" s="234"/>
      <c r="AC102" s="234"/>
      <c r="AD102" s="234"/>
      <c r="AE102" s="234"/>
      <c r="AF102" s="234"/>
      <c r="AG102" s="234"/>
      <c r="AH102" s="234"/>
      <c r="AI102" s="233"/>
    </row>
    <row r="103" spans="3:35" x14ac:dyDescent="0.2">
      <c r="C103" s="233"/>
      <c r="D103" s="233"/>
      <c r="E103" s="233"/>
      <c r="F103" s="233"/>
      <c r="G103" s="233"/>
      <c r="H103" s="233"/>
      <c r="I103" s="233"/>
      <c r="J103" s="233"/>
      <c r="K103" s="233"/>
      <c r="L103" s="233"/>
      <c r="M103" s="234"/>
      <c r="N103" s="234"/>
      <c r="O103" s="234"/>
      <c r="P103" s="234"/>
      <c r="Q103" s="234"/>
      <c r="R103" s="235"/>
      <c r="S103" s="236"/>
      <c r="T103" s="233"/>
      <c r="U103" s="233"/>
      <c r="V103" s="233"/>
      <c r="W103" s="233"/>
      <c r="X103" s="233"/>
      <c r="Y103" s="233"/>
      <c r="Z103" s="234"/>
      <c r="AA103" s="234"/>
      <c r="AB103" s="234"/>
      <c r="AC103" s="234"/>
      <c r="AD103" s="234"/>
      <c r="AE103" s="234"/>
      <c r="AF103" s="234"/>
      <c r="AG103" s="234"/>
      <c r="AH103" s="234"/>
      <c r="AI103" s="233"/>
    </row>
    <row r="104" spans="3:35" x14ac:dyDescent="0.2">
      <c r="C104" s="233"/>
      <c r="D104" s="233"/>
      <c r="E104" s="233"/>
      <c r="F104" s="233"/>
      <c r="G104" s="233"/>
      <c r="H104" s="233"/>
      <c r="I104" s="233"/>
      <c r="J104" s="233"/>
      <c r="K104" s="233"/>
      <c r="L104" s="233"/>
      <c r="M104" s="234"/>
      <c r="N104" s="234"/>
      <c r="O104" s="234"/>
      <c r="P104" s="234"/>
      <c r="Q104" s="234"/>
      <c r="R104" s="235"/>
      <c r="S104" s="236"/>
      <c r="T104" s="233"/>
      <c r="U104" s="233"/>
      <c r="V104" s="233"/>
      <c r="W104" s="233"/>
      <c r="X104" s="233"/>
      <c r="Y104" s="233"/>
      <c r="Z104" s="234"/>
      <c r="AA104" s="234"/>
      <c r="AB104" s="234"/>
      <c r="AC104" s="234"/>
      <c r="AD104" s="234"/>
      <c r="AE104" s="234"/>
      <c r="AF104" s="234"/>
      <c r="AG104" s="234"/>
      <c r="AH104" s="234"/>
      <c r="AI104" s="233"/>
    </row>
    <row r="105" spans="3:35" x14ac:dyDescent="0.2">
      <c r="C105" s="233"/>
      <c r="D105" s="233"/>
      <c r="E105" s="233"/>
      <c r="F105" s="233"/>
      <c r="G105" s="233"/>
      <c r="H105" s="233"/>
      <c r="I105" s="233"/>
      <c r="J105" s="233"/>
      <c r="K105" s="233"/>
      <c r="L105" s="233"/>
      <c r="M105" s="234"/>
      <c r="N105" s="234"/>
      <c r="O105" s="234"/>
      <c r="P105" s="234"/>
      <c r="Q105" s="234"/>
      <c r="R105" s="235"/>
      <c r="S105" s="236"/>
      <c r="T105" s="233"/>
      <c r="U105" s="233"/>
      <c r="V105" s="233"/>
      <c r="W105" s="233"/>
      <c r="X105" s="233"/>
      <c r="Y105" s="233"/>
      <c r="Z105" s="234"/>
      <c r="AA105" s="234"/>
      <c r="AB105" s="234"/>
      <c r="AC105" s="234"/>
      <c r="AD105" s="234"/>
      <c r="AE105" s="234"/>
      <c r="AF105" s="234"/>
      <c r="AG105" s="234"/>
      <c r="AH105" s="234"/>
      <c r="AI105" s="233"/>
    </row>
    <row r="106" spans="3:35" x14ac:dyDescent="0.2">
      <c r="C106" s="233"/>
      <c r="D106" s="233"/>
      <c r="E106" s="233"/>
      <c r="F106" s="233"/>
      <c r="G106" s="233"/>
      <c r="H106" s="233"/>
      <c r="I106" s="233"/>
      <c r="J106" s="233"/>
      <c r="K106" s="233"/>
      <c r="L106" s="233"/>
      <c r="M106" s="234"/>
      <c r="N106" s="234"/>
      <c r="O106" s="234"/>
      <c r="P106" s="234"/>
      <c r="Q106" s="234"/>
      <c r="R106" s="235"/>
      <c r="S106" s="236"/>
      <c r="T106" s="233"/>
      <c r="U106" s="233"/>
      <c r="V106" s="233"/>
      <c r="W106" s="233"/>
      <c r="X106" s="233"/>
      <c r="Y106" s="233"/>
      <c r="Z106" s="234"/>
      <c r="AA106" s="234"/>
      <c r="AB106" s="234"/>
      <c r="AC106" s="234"/>
      <c r="AD106" s="234"/>
      <c r="AE106" s="234"/>
      <c r="AF106" s="234"/>
      <c r="AG106" s="234"/>
      <c r="AH106" s="234"/>
      <c r="AI106" s="233"/>
    </row>
    <row r="107" spans="3:35" x14ac:dyDescent="0.2">
      <c r="C107" s="233"/>
      <c r="D107" s="233"/>
      <c r="E107" s="233"/>
      <c r="F107" s="233"/>
      <c r="G107" s="233"/>
      <c r="H107" s="233"/>
      <c r="I107" s="233"/>
      <c r="J107" s="233"/>
      <c r="K107" s="233"/>
      <c r="L107" s="233"/>
      <c r="M107" s="234"/>
      <c r="N107" s="234"/>
      <c r="O107" s="234"/>
      <c r="P107" s="234"/>
      <c r="Q107" s="234"/>
      <c r="R107" s="235"/>
      <c r="S107" s="236"/>
      <c r="T107" s="233"/>
      <c r="U107" s="233"/>
      <c r="V107" s="233"/>
      <c r="W107" s="233"/>
      <c r="X107" s="233"/>
      <c r="Y107" s="233"/>
      <c r="Z107" s="234"/>
      <c r="AA107" s="234"/>
      <c r="AB107" s="234"/>
      <c r="AC107" s="234"/>
      <c r="AD107" s="234"/>
      <c r="AE107" s="234"/>
      <c r="AF107" s="234"/>
      <c r="AG107" s="234"/>
      <c r="AH107" s="234"/>
      <c r="AI107" s="233"/>
    </row>
    <row r="108" spans="3:35" x14ac:dyDescent="0.2">
      <c r="C108" s="233"/>
      <c r="D108" s="233"/>
      <c r="E108" s="233"/>
      <c r="F108" s="233"/>
      <c r="G108" s="233"/>
      <c r="H108" s="233"/>
      <c r="I108" s="233"/>
      <c r="J108" s="233"/>
      <c r="K108" s="233"/>
      <c r="L108" s="233"/>
      <c r="M108" s="234"/>
      <c r="N108" s="234"/>
      <c r="O108" s="234"/>
      <c r="P108" s="234"/>
      <c r="Q108" s="234"/>
      <c r="R108" s="235"/>
      <c r="S108" s="236"/>
      <c r="T108" s="233"/>
      <c r="U108" s="233"/>
      <c r="V108" s="233"/>
      <c r="W108" s="233"/>
      <c r="X108" s="233"/>
      <c r="Y108" s="233"/>
      <c r="Z108" s="234"/>
      <c r="AA108" s="234"/>
      <c r="AB108" s="234"/>
      <c r="AC108" s="234"/>
      <c r="AD108" s="234"/>
      <c r="AE108" s="234"/>
      <c r="AF108" s="234"/>
      <c r="AG108" s="234"/>
      <c r="AH108" s="234"/>
      <c r="AI108" s="233"/>
    </row>
    <row r="109" spans="3:35" x14ac:dyDescent="0.2">
      <c r="C109" s="233"/>
      <c r="D109" s="233"/>
      <c r="E109" s="233"/>
      <c r="F109" s="233"/>
      <c r="G109" s="233"/>
      <c r="H109" s="233"/>
      <c r="I109" s="233"/>
      <c r="J109" s="233"/>
      <c r="K109" s="233"/>
      <c r="L109" s="233"/>
      <c r="M109" s="234"/>
      <c r="N109" s="234"/>
      <c r="O109" s="234"/>
      <c r="P109" s="234"/>
      <c r="Q109" s="234"/>
      <c r="R109" s="235"/>
      <c r="S109" s="236"/>
      <c r="T109" s="233"/>
      <c r="U109" s="233"/>
      <c r="V109" s="233"/>
      <c r="W109" s="233"/>
      <c r="X109" s="233"/>
      <c r="Y109" s="233"/>
      <c r="Z109" s="234"/>
      <c r="AA109" s="234"/>
      <c r="AB109" s="234"/>
      <c r="AC109" s="234"/>
      <c r="AD109" s="234"/>
      <c r="AE109" s="234"/>
      <c r="AF109" s="234"/>
      <c r="AG109" s="234"/>
      <c r="AH109" s="234"/>
      <c r="AI109" s="233"/>
    </row>
    <row r="110" spans="3:35" x14ac:dyDescent="0.2">
      <c r="C110" s="233"/>
      <c r="D110" s="233"/>
      <c r="E110" s="233"/>
      <c r="F110" s="233"/>
      <c r="G110" s="233"/>
      <c r="H110" s="233"/>
      <c r="I110" s="233"/>
      <c r="J110" s="233"/>
      <c r="K110" s="233"/>
      <c r="L110" s="233"/>
      <c r="M110" s="234"/>
      <c r="N110" s="234"/>
      <c r="O110" s="234"/>
      <c r="P110" s="234"/>
      <c r="Q110" s="234"/>
      <c r="R110" s="235"/>
      <c r="S110" s="236"/>
      <c r="T110" s="233"/>
      <c r="U110" s="233"/>
      <c r="V110" s="233"/>
      <c r="W110" s="233"/>
      <c r="X110" s="233"/>
      <c r="Y110" s="233"/>
      <c r="Z110" s="234"/>
      <c r="AA110" s="234"/>
      <c r="AB110" s="234"/>
      <c r="AC110" s="234"/>
      <c r="AD110" s="234"/>
      <c r="AE110" s="234"/>
      <c r="AF110" s="234"/>
      <c r="AG110" s="234"/>
      <c r="AH110" s="234"/>
      <c r="AI110" s="233"/>
    </row>
    <row r="111" spans="3:35" x14ac:dyDescent="0.2">
      <c r="C111" s="233"/>
      <c r="D111" s="233"/>
      <c r="E111" s="233"/>
      <c r="F111" s="233"/>
      <c r="G111" s="233"/>
      <c r="H111" s="233"/>
      <c r="I111" s="233"/>
      <c r="J111" s="233"/>
      <c r="K111" s="233"/>
      <c r="L111" s="233"/>
      <c r="M111" s="234"/>
      <c r="N111" s="234"/>
      <c r="O111" s="234"/>
      <c r="P111" s="234"/>
      <c r="Q111" s="234"/>
      <c r="R111" s="235"/>
      <c r="S111" s="236"/>
      <c r="T111" s="233"/>
      <c r="U111" s="233"/>
      <c r="V111" s="233"/>
      <c r="W111" s="233"/>
      <c r="X111" s="233"/>
      <c r="Y111" s="233"/>
      <c r="Z111" s="234"/>
      <c r="AA111" s="234"/>
      <c r="AB111" s="234"/>
      <c r="AC111" s="234"/>
      <c r="AD111" s="234"/>
      <c r="AE111" s="234"/>
      <c r="AF111" s="234"/>
      <c r="AG111" s="234"/>
      <c r="AH111" s="234"/>
      <c r="AI111" s="233"/>
    </row>
    <row r="112" spans="3:35" x14ac:dyDescent="0.2">
      <c r="C112" s="233"/>
      <c r="D112" s="233"/>
      <c r="E112" s="233"/>
      <c r="F112" s="233"/>
      <c r="G112" s="233"/>
      <c r="H112" s="233"/>
      <c r="I112" s="233"/>
      <c r="J112" s="233"/>
      <c r="K112" s="233"/>
      <c r="L112" s="233"/>
      <c r="M112" s="234"/>
      <c r="N112" s="234"/>
      <c r="O112" s="234"/>
      <c r="P112" s="234"/>
      <c r="Q112" s="234"/>
      <c r="R112" s="235"/>
      <c r="S112" s="236"/>
      <c r="T112" s="233"/>
      <c r="U112" s="233"/>
      <c r="V112" s="233"/>
      <c r="W112" s="233"/>
      <c r="X112" s="233"/>
      <c r="Y112" s="233"/>
      <c r="Z112" s="234"/>
      <c r="AA112" s="234"/>
      <c r="AB112" s="234"/>
      <c r="AC112" s="234"/>
      <c r="AD112" s="234"/>
      <c r="AE112" s="234"/>
      <c r="AF112" s="234"/>
      <c r="AG112" s="234"/>
      <c r="AH112" s="234"/>
      <c r="AI112" s="233"/>
    </row>
    <row r="113" spans="3:35" x14ac:dyDescent="0.2">
      <c r="C113" s="233"/>
      <c r="D113" s="233"/>
      <c r="E113" s="233"/>
      <c r="F113" s="233"/>
      <c r="G113" s="233"/>
      <c r="H113" s="233"/>
      <c r="I113" s="233"/>
      <c r="J113" s="233"/>
      <c r="K113" s="233"/>
      <c r="L113" s="233"/>
      <c r="M113" s="234"/>
      <c r="N113" s="234"/>
      <c r="O113" s="234"/>
      <c r="P113" s="234"/>
      <c r="Q113" s="234"/>
      <c r="R113" s="235"/>
      <c r="S113" s="236"/>
      <c r="T113" s="233"/>
      <c r="U113" s="233"/>
      <c r="V113" s="233"/>
      <c r="W113" s="233"/>
      <c r="X113" s="233"/>
      <c r="Y113" s="233"/>
      <c r="Z113" s="234"/>
      <c r="AA113" s="234"/>
      <c r="AB113" s="234"/>
      <c r="AC113" s="234"/>
      <c r="AD113" s="234"/>
      <c r="AE113" s="234"/>
      <c r="AF113" s="234"/>
      <c r="AG113" s="234"/>
      <c r="AH113" s="234"/>
      <c r="AI113" s="233"/>
    </row>
    <row r="114" spans="3:35" x14ac:dyDescent="0.2">
      <c r="C114" s="233"/>
      <c r="D114" s="233"/>
      <c r="E114" s="233"/>
      <c r="F114" s="233"/>
      <c r="G114" s="233"/>
      <c r="H114" s="233"/>
      <c r="I114" s="233"/>
      <c r="J114" s="233"/>
      <c r="K114" s="233"/>
      <c r="L114" s="233"/>
      <c r="M114" s="234"/>
      <c r="N114" s="234"/>
      <c r="O114" s="234"/>
      <c r="P114" s="234"/>
      <c r="Q114" s="234"/>
      <c r="R114" s="235"/>
      <c r="S114" s="236"/>
      <c r="T114" s="233"/>
      <c r="U114" s="233"/>
      <c r="V114" s="233"/>
      <c r="W114" s="233"/>
      <c r="X114" s="233"/>
      <c r="Y114" s="233"/>
      <c r="Z114" s="234"/>
      <c r="AA114" s="234"/>
      <c r="AB114" s="234"/>
      <c r="AC114" s="234"/>
      <c r="AD114" s="234"/>
      <c r="AE114" s="234"/>
      <c r="AF114" s="234"/>
      <c r="AG114" s="234"/>
      <c r="AH114" s="234"/>
      <c r="AI114" s="233"/>
    </row>
    <row r="115" spans="3:35" x14ac:dyDescent="0.2">
      <c r="C115" s="233"/>
      <c r="D115" s="233"/>
      <c r="E115" s="233"/>
      <c r="F115" s="233"/>
      <c r="G115" s="233"/>
      <c r="H115" s="233"/>
      <c r="I115" s="233"/>
      <c r="J115" s="233"/>
      <c r="K115" s="233"/>
      <c r="L115" s="233"/>
      <c r="M115" s="234"/>
      <c r="N115" s="234"/>
      <c r="O115" s="234"/>
      <c r="P115" s="234"/>
      <c r="Q115" s="234"/>
      <c r="R115" s="235"/>
      <c r="S115" s="236"/>
      <c r="T115" s="233"/>
      <c r="U115" s="233"/>
      <c r="V115" s="233"/>
      <c r="W115" s="233"/>
      <c r="X115" s="233"/>
      <c r="Y115" s="233"/>
      <c r="Z115" s="234"/>
      <c r="AA115" s="234"/>
      <c r="AB115" s="234"/>
      <c r="AC115" s="234"/>
      <c r="AD115" s="234"/>
      <c r="AE115" s="234"/>
      <c r="AF115" s="234"/>
      <c r="AG115" s="234"/>
      <c r="AH115" s="234"/>
      <c r="AI115" s="233"/>
    </row>
    <row r="116" spans="3:35" x14ac:dyDescent="0.2">
      <c r="C116" s="233"/>
      <c r="D116" s="233"/>
      <c r="E116" s="233"/>
      <c r="F116" s="233"/>
      <c r="G116" s="233"/>
      <c r="H116" s="233"/>
      <c r="I116" s="233"/>
      <c r="J116" s="233"/>
      <c r="K116" s="233"/>
      <c r="L116" s="233"/>
      <c r="M116" s="234"/>
      <c r="N116" s="234"/>
      <c r="O116" s="234"/>
      <c r="P116" s="234"/>
      <c r="Q116" s="234"/>
      <c r="R116" s="235"/>
      <c r="S116" s="236"/>
      <c r="T116" s="233"/>
      <c r="U116" s="233"/>
      <c r="V116" s="233"/>
      <c r="W116" s="233"/>
      <c r="X116" s="233"/>
      <c r="Y116" s="233"/>
      <c r="Z116" s="234"/>
      <c r="AA116" s="234"/>
      <c r="AB116" s="234"/>
      <c r="AC116" s="234"/>
      <c r="AD116" s="234"/>
      <c r="AE116" s="234"/>
      <c r="AF116" s="234"/>
      <c r="AG116" s="234"/>
      <c r="AH116" s="234"/>
      <c r="AI116" s="233"/>
    </row>
    <row r="117" spans="3:35" x14ac:dyDescent="0.2">
      <c r="C117" s="233"/>
      <c r="D117" s="233"/>
      <c r="E117" s="233"/>
      <c r="F117" s="233"/>
      <c r="G117" s="233"/>
      <c r="H117" s="233"/>
      <c r="I117" s="233"/>
      <c r="J117" s="233"/>
      <c r="K117" s="233"/>
      <c r="L117" s="233"/>
      <c r="M117" s="234"/>
      <c r="N117" s="234"/>
      <c r="O117" s="234"/>
      <c r="P117" s="234"/>
      <c r="Q117" s="234"/>
      <c r="R117" s="235"/>
      <c r="S117" s="236"/>
      <c r="T117" s="233"/>
      <c r="U117" s="233"/>
      <c r="V117" s="233"/>
      <c r="W117" s="233"/>
      <c r="X117" s="233"/>
      <c r="Y117" s="233"/>
      <c r="Z117" s="234"/>
      <c r="AA117" s="234"/>
      <c r="AB117" s="234"/>
      <c r="AC117" s="234"/>
      <c r="AD117" s="234"/>
      <c r="AE117" s="234"/>
      <c r="AF117" s="234"/>
      <c r="AG117" s="234"/>
      <c r="AH117" s="234"/>
      <c r="AI117" s="233"/>
    </row>
    <row r="118" spans="3:35" x14ac:dyDescent="0.2">
      <c r="C118" s="233"/>
      <c r="D118" s="233"/>
      <c r="E118" s="233"/>
      <c r="F118" s="233"/>
      <c r="G118" s="233"/>
      <c r="H118" s="233"/>
      <c r="I118" s="233"/>
      <c r="J118" s="233"/>
      <c r="K118" s="233"/>
      <c r="L118" s="233"/>
      <c r="M118" s="234"/>
      <c r="N118" s="234"/>
      <c r="O118" s="234"/>
      <c r="P118" s="234"/>
      <c r="Q118" s="234"/>
      <c r="R118" s="235"/>
      <c r="S118" s="236"/>
      <c r="T118" s="233"/>
      <c r="U118" s="233"/>
      <c r="V118" s="233"/>
      <c r="W118" s="233"/>
      <c r="X118" s="233"/>
      <c r="Y118" s="233"/>
      <c r="Z118" s="234"/>
      <c r="AA118" s="234"/>
      <c r="AB118" s="234"/>
      <c r="AC118" s="234"/>
      <c r="AD118" s="234"/>
      <c r="AE118" s="234"/>
      <c r="AF118" s="234"/>
      <c r="AG118" s="234"/>
      <c r="AH118" s="234"/>
      <c r="AI118" s="233"/>
    </row>
    <row r="119" spans="3:35" x14ac:dyDescent="0.2">
      <c r="C119" s="233"/>
      <c r="D119" s="233"/>
      <c r="E119" s="233"/>
      <c r="F119" s="233"/>
      <c r="G119" s="233"/>
      <c r="H119" s="233"/>
      <c r="I119" s="233"/>
      <c r="J119" s="233"/>
      <c r="K119" s="233"/>
      <c r="L119" s="233"/>
      <c r="M119" s="234"/>
      <c r="N119" s="234"/>
      <c r="O119" s="234"/>
      <c r="P119" s="234"/>
      <c r="Q119" s="234"/>
      <c r="R119" s="235"/>
      <c r="S119" s="236"/>
      <c r="T119" s="233"/>
      <c r="U119" s="233"/>
      <c r="V119" s="233"/>
      <c r="W119" s="233"/>
      <c r="X119" s="233"/>
      <c r="Y119" s="233"/>
      <c r="Z119" s="234"/>
      <c r="AA119" s="234"/>
      <c r="AB119" s="234"/>
      <c r="AC119" s="234"/>
      <c r="AD119" s="234"/>
      <c r="AE119" s="234"/>
      <c r="AF119" s="234"/>
      <c r="AG119" s="234"/>
      <c r="AH119" s="234"/>
      <c r="AI119" s="233"/>
    </row>
    <row r="120" spans="3:35" x14ac:dyDescent="0.2">
      <c r="C120" s="233"/>
      <c r="D120" s="233"/>
      <c r="E120" s="233"/>
      <c r="F120" s="233"/>
      <c r="G120" s="233"/>
      <c r="H120" s="233"/>
      <c r="I120" s="233"/>
      <c r="J120" s="233"/>
      <c r="K120" s="233"/>
      <c r="L120" s="233"/>
      <c r="M120" s="234"/>
      <c r="N120" s="234"/>
      <c r="O120" s="234"/>
      <c r="P120" s="234"/>
      <c r="Q120" s="234"/>
      <c r="R120" s="235"/>
      <c r="S120" s="236"/>
      <c r="T120" s="233"/>
      <c r="U120" s="233"/>
      <c r="V120" s="233"/>
      <c r="W120" s="233"/>
      <c r="X120" s="233"/>
      <c r="Y120" s="233"/>
      <c r="Z120" s="234"/>
      <c r="AA120" s="234"/>
      <c r="AB120" s="234"/>
      <c r="AC120" s="234"/>
      <c r="AD120" s="234"/>
      <c r="AE120" s="234"/>
      <c r="AF120" s="234"/>
      <c r="AG120" s="234"/>
      <c r="AH120" s="234"/>
      <c r="AI120" s="233"/>
    </row>
    <row r="121" spans="3:35" x14ac:dyDescent="0.2">
      <c r="C121" s="233"/>
      <c r="D121" s="233"/>
      <c r="E121" s="233"/>
      <c r="F121" s="233"/>
      <c r="G121" s="233"/>
      <c r="H121" s="233"/>
      <c r="I121" s="233"/>
      <c r="J121" s="233"/>
      <c r="K121" s="233"/>
      <c r="L121" s="233"/>
      <c r="M121" s="234"/>
      <c r="N121" s="234"/>
      <c r="O121" s="234"/>
      <c r="P121" s="234"/>
      <c r="Q121" s="234"/>
      <c r="R121" s="235"/>
      <c r="S121" s="236"/>
      <c r="T121" s="233"/>
      <c r="U121" s="233"/>
      <c r="V121" s="233"/>
      <c r="W121" s="233"/>
      <c r="X121" s="233"/>
      <c r="Y121" s="233"/>
      <c r="Z121" s="234"/>
      <c r="AA121" s="234"/>
      <c r="AB121" s="234"/>
      <c r="AC121" s="234"/>
      <c r="AD121" s="234"/>
      <c r="AE121" s="234"/>
      <c r="AF121" s="234"/>
      <c r="AG121" s="234"/>
      <c r="AH121" s="234"/>
      <c r="AI121" s="233"/>
    </row>
    <row r="122" spans="3:35" x14ac:dyDescent="0.2">
      <c r="C122" s="233"/>
      <c r="D122" s="233"/>
      <c r="E122" s="233"/>
      <c r="F122" s="233"/>
      <c r="G122" s="233"/>
      <c r="H122" s="233"/>
      <c r="I122" s="233"/>
      <c r="J122" s="233"/>
      <c r="K122" s="233"/>
      <c r="L122" s="233"/>
      <c r="M122" s="234"/>
      <c r="N122" s="234"/>
      <c r="O122" s="234"/>
      <c r="P122" s="234"/>
      <c r="Q122" s="234"/>
      <c r="R122" s="235"/>
      <c r="S122" s="236"/>
      <c r="T122" s="233"/>
      <c r="U122" s="233"/>
      <c r="V122" s="233"/>
      <c r="W122" s="233"/>
      <c r="X122" s="233"/>
      <c r="Y122" s="233"/>
      <c r="Z122" s="234"/>
      <c r="AA122" s="234"/>
      <c r="AB122" s="234"/>
      <c r="AC122" s="234"/>
      <c r="AD122" s="234"/>
      <c r="AE122" s="234"/>
      <c r="AF122" s="234"/>
      <c r="AG122" s="234"/>
      <c r="AH122" s="234"/>
      <c r="AI122" s="233"/>
    </row>
    <row r="123" spans="3:35" x14ac:dyDescent="0.2">
      <c r="C123" s="233"/>
      <c r="D123" s="233"/>
      <c r="E123" s="233"/>
      <c r="F123" s="233"/>
      <c r="G123" s="233"/>
      <c r="H123" s="233"/>
      <c r="I123" s="233"/>
      <c r="J123" s="233"/>
      <c r="K123" s="233"/>
      <c r="L123" s="233"/>
      <c r="M123" s="234"/>
      <c r="N123" s="234"/>
      <c r="O123" s="234"/>
      <c r="P123" s="234"/>
      <c r="Q123" s="234"/>
      <c r="R123" s="235"/>
      <c r="S123" s="236"/>
      <c r="T123" s="233"/>
      <c r="U123" s="233"/>
      <c r="V123" s="233"/>
      <c r="W123" s="233"/>
      <c r="X123" s="233"/>
      <c r="Y123" s="233"/>
      <c r="Z123" s="234"/>
      <c r="AA123" s="234"/>
      <c r="AB123" s="234"/>
      <c r="AC123" s="234"/>
      <c r="AD123" s="234"/>
      <c r="AE123" s="234"/>
      <c r="AF123" s="234"/>
      <c r="AG123" s="234"/>
      <c r="AH123" s="234"/>
      <c r="AI123" s="233"/>
    </row>
    <row r="124" spans="3:35" x14ac:dyDescent="0.2">
      <c r="C124" s="233"/>
      <c r="D124" s="233"/>
      <c r="E124" s="233"/>
      <c r="F124" s="233"/>
      <c r="G124" s="233"/>
      <c r="H124" s="233"/>
      <c r="I124" s="233"/>
      <c r="J124" s="233"/>
      <c r="K124" s="233"/>
      <c r="L124" s="233"/>
      <c r="M124" s="234"/>
      <c r="N124" s="234"/>
      <c r="O124" s="234"/>
      <c r="P124" s="234"/>
      <c r="Q124" s="234"/>
      <c r="R124" s="235"/>
      <c r="S124" s="236"/>
      <c r="T124" s="233"/>
      <c r="U124" s="233"/>
      <c r="V124" s="233"/>
      <c r="W124" s="233"/>
      <c r="X124" s="233"/>
      <c r="Y124" s="233"/>
      <c r="Z124" s="234"/>
      <c r="AA124" s="234"/>
      <c r="AB124" s="234"/>
      <c r="AC124" s="234"/>
      <c r="AD124" s="234"/>
      <c r="AE124" s="234"/>
      <c r="AF124" s="234"/>
      <c r="AG124" s="234"/>
      <c r="AH124" s="234"/>
      <c r="AI124" s="233"/>
    </row>
    <row r="125" spans="3:35" x14ac:dyDescent="0.2">
      <c r="C125" s="240"/>
      <c r="D125" s="240"/>
      <c r="E125" s="240"/>
      <c r="F125" s="240"/>
      <c r="G125" s="240"/>
      <c r="H125" s="240"/>
      <c r="I125" s="240"/>
      <c r="J125" s="240"/>
      <c r="K125" s="240"/>
      <c r="L125" s="240"/>
      <c r="M125" s="241"/>
      <c r="N125" s="241"/>
      <c r="O125" s="241"/>
      <c r="P125" s="241"/>
      <c r="Q125" s="241"/>
      <c r="R125" s="242"/>
      <c r="S125" s="243"/>
      <c r="T125" s="240"/>
      <c r="U125" s="240"/>
      <c r="V125" s="240"/>
      <c r="W125" s="240"/>
      <c r="X125" s="240"/>
      <c r="Y125" s="240"/>
      <c r="Z125" s="241"/>
      <c r="AA125" s="241"/>
      <c r="AB125" s="241"/>
      <c r="AC125" s="241"/>
      <c r="AD125" s="241"/>
      <c r="AE125" s="241"/>
      <c r="AF125" s="241"/>
      <c r="AG125" s="241"/>
      <c r="AH125" s="241"/>
      <c r="AI125" s="240"/>
    </row>
    <row r="126" spans="3:35" x14ac:dyDescent="0.2">
      <c r="C126" s="240"/>
      <c r="D126" s="240"/>
      <c r="E126" s="240"/>
      <c r="F126" s="240"/>
      <c r="G126" s="240"/>
      <c r="H126" s="240"/>
      <c r="I126" s="240"/>
      <c r="J126" s="240"/>
      <c r="K126" s="240"/>
      <c r="L126" s="240"/>
      <c r="M126" s="241"/>
      <c r="N126" s="241"/>
      <c r="O126" s="241"/>
      <c r="P126" s="241"/>
      <c r="Q126" s="241"/>
      <c r="R126" s="242"/>
      <c r="S126" s="243"/>
      <c r="T126" s="240"/>
      <c r="U126" s="240"/>
      <c r="V126" s="240"/>
      <c r="W126" s="240"/>
      <c r="X126" s="240"/>
      <c r="Y126" s="240"/>
      <c r="Z126" s="241"/>
      <c r="AA126" s="241"/>
      <c r="AB126" s="241"/>
      <c r="AC126" s="241"/>
      <c r="AD126" s="241"/>
      <c r="AE126" s="241"/>
      <c r="AF126" s="241"/>
      <c r="AG126" s="241"/>
      <c r="AH126" s="241"/>
      <c r="AI126" s="240"/>
    </row>
    <row r="127" spans="3:35" x14ac:dyDescent="0.2">
      <c r="C127" s="240"/>
      <c r="D127" s="240"/>
      <c r="E127" s="240"/>
      <c r="F127" s="240"/>
      <c r="G127" s="240"/>
      <c r="H127" s="240"/>
      <c r="I127" s="240"/>
      <c r="J127" s="240"/>
      <c r="K127" s="240"/>
      <c r="L127" s="240"/>
      <c r="M127" s="241"/>
      <c r="N127" s="241"/>
      <c r="O127" s="241"/>
      <c r="P127" s="241"/>
      <c r="Q127" s="241"/>
      <c r="R127" s="242"/>
      <c r="S127" s="243"/>
      <c r="T127" s="240"/>
      <c r="U127" s="240"/>
      <c r="V127" s="240"/>
      <c r="W127" s="240"/>
      <c r="X127" s="240"/>
      <c r="Y127" s="240"/>
      <c r="Z127" s="241"/>
      <c r="AA127" s="241"/>
      <c r="AB127" s="241"/>
      <c r="AC127" s="241"/>
      <c r="AD127" s="241"/>
      <c r="AE127" s="241"/>
      <c r="AF127" s="241"/>
      <c r="AG127" s="241"/>
      <c r="AH127" s="241"/>
      <c r="AI127" s="240"/>
    </row>
    <row r="128" spans="3:35" x14ac:dyDescent="0.2">
      <c r="C128" s="240"/>
      <c r="D128" s="240"/>
      <c r="E128" s="240"/>
      <c r="F128" s="240"/>
      <c r="G128" s="240"/>
      <c r="H128" s="240"/>
      <c r="I128" s="240"/>
      <c r="J128" s="240"/>
      <c r="K128" s="240"/>
      <c r="L128" s="240"/>
      <c r="M128" s="241"/>
      <c r="N128" s="241"/>
      <c r="O128" s="241"/>
      <c r="P128" s="241"/>
      <c r="Q128" s="241"/>
      <c r="R128" s="242"/>
      <c r="S128" s="243"/>
      <c r="T128" s="240"/>
      <c r="U128" s="240"/>
      <c r="V128" s="240"/>
      <c r="W128" s="240"/>
      <c r="X128" s="240"/>
      <c r="Y128" s="240"/>
      <c r="Z128" s="241"/>
      <c r="AA128" s="241"/>
      <c r="AB128" s="241"/>
      <c r="AC128" s="241"/>
      <c r="AD128" s="241"/>
      <c r="AE128" s="241"/>
      <c r="AF128" s="241"/>
      <c r="AG128" s="241"/>
      <c r="AH128" s="241"/>
      <c r="AI128" s="240"/>
    </row>
    <row r="129" spans="3:35" x14ac:dyDescent="0.2">
      <c r="C129" s="240"/>
      <c r="D129" s="240"/>
      <c r="E129" s="240"/>
      <c r="F129" s="240"/>
      <c r="G129" s="240"/>
      <c r="H129" s="240"/>
      <c r="I129" s="240"/>
      <c r="J129" s="240"/>
      <c r="K129" s="240"/>
      <c r="L129" s="240"/>
      <c r="M129" s="241"/>
      <c r="N129" s="241"/>
      <c r="O129" s="241"/>
      <c r="P129" s="241"/>
      <c r="Q129" s="241"/>
      <c r="R129" s="242"/>
      <c r="S129" s="243"/>
      <c r="T129" s="240"/>
      <c r="U129" s="240"/>
      <c r="V129" s="240"/>
      <c r="W129" s="240"/>
      <c r="X129" s="240"/>
      <c r="Y129" s="240"/>
      <c r="Z129" s="241"/>
      <c r="AA129" s="241"/>
      <c r="AB129" s="241"/>
      <c r="AC129" s="241"/>
      <c r="AD129" s="241"/>
      <c r="AE129" s="241"/>
      <c r="AF129" s="241"/>
      <c r="AG129" s="241"/>
      <c r="AH129" s="241"/>
      <c r="AI129" s="240"/>
    </row>
    <row r="130" spans="3:35" x14ac:dyDescent="0.2">
      <c r="C130" s="240"/>
      <c r="D130" s="240"/>
      <c r="E130" s="240"/>
      <c r="F130" s="240"/>
      <c r="G130" s="240"/>
      <c r="H130" s="240"/>
      <c r="I130" s="240"/>
      <c r="J130" s="240"/>
      <c r="K130" s="240"/>
      <c r="L130" s="240"/>
      <c r="M130" s="241"/>
      <c r="N130" s="241"/>
      <c r="O130" s="241"/>
      <c r="P130" s="241"/>
      <c r="Q130" s="241"/>
      <c r="R130" s="242"/>
      <c r="S130" s="243"/>
      <c r="T130" s="240"/>
      <c r="U130" s="240"/>
      <c r="V130" s="240"/>
      <c r="W130" s="240"/>
      <c r="X130" s="240"/>
      <c r="Y130" s="240"/>
      <c r="Z130" s="241"/>
      <c r="AA130" s="241"/>
      <c r="AB130" s="241"/>
      <c r="AC130" s="241"/>
      <c r="AD130" s="241"/>
      <c r="AE130" s="241"/>
      <c r="AF130" s="241"/>
      <c r="AG130" s="241"/>
      <c r="AH130" s="241"/>
      <c r="AI130" s="240"/>
    </row>
    <row r="131" spans="3:35" x14ac:dyDescent="0.2">
      <c r="C131" s="240"/>
      <c r="D131" s="240"/>
      <c r="E131" s="240"/>
      <c r="F131" s="240"/>
      <c r="G131" s="240"/>
      <c r="H131" s="240"/>
      <c r="I131" s="240"/>
      <c r="J131" s="240"/>
      <c r="K131" s="240"/>
      <c r="L131" s="240"/>
      <c r="M131" s="241"/>
      <c r="N131" s="241"/>
      <c r="O131" s="241"/>
      <c r="P131" s="241"/>
      <c r="Q131" s="241"/>
      <c r="R131" s="242"/>
      <c r="S131" s="243"/>
      <c r="T131" s="240"/>
      <c r="U131" s="240"/>
      <c r="V131" s="240"/>
      <c r="W131" s="240"/>
      <c r="X131" s="240"/>
      <c r="Y131" s="240"/>
      <c r="Z131" s="241"/>
      <c r="AA131" s="241"/>
      <c r="AB131" s="241"/>
      <c r="AC131" s="241"/>
      <c r="AD131" s="241"/>
      <c r="AE131" s="241"/>
      <c r="AF131" s="241"/>
      <c r="AG131" s="241"/>
      <c r="AH131" s="241"/>
      <c r="AI131" s="240"/>
    </row>
    <row r="132" spans="3:35" x14ac:dyDescent="0.2">
      <c r="C132" s="240"/>
      <c r="D132" s="240"/>
      <c r="E132" s="240"/>
      <c r="F132" s="240"/>
      <c r="G132" s="240"/>
      <c r="H132" s="240"/>
      <c r="I132" s="240"/>
      <c r="J132" s="240"/>
      <c r="K132" s="240"/>
      <c r="L132" s="240"/>
      <c r="M132" s="241"/>
      <c r="N132" s="241"/>
      <c r="O132" s="241"/>
      <c r="P132" s="241"/>
      <c r="Q132" s="241"/>
      <c r="R132" s="242"/>
      <c r="S132" s="243"/>
      <c r="T132" s="240"/>
      <c r="U132" s="240"/>
      <c r="V132" s="240"/>
      <c r="W132" s="240"/>
      <c r="X132" s="240"/>
      <c r="Y132" s="240"/>
      <c r="Z132" s="241"/>
      <c r="AA132" s="241"/>
      <c r="AB132" s="241"/>
      <c r="AC132" s="241"/>
      <c r="AD132" s="241"/>
      <c r="AE132" s="241"/>
      <c r="AF132" s="241"/>
      <c r="AG132" s="241"/>
      <c r="AH132" s="241"/>
      <c r="AI132" s="240"/>
    </row>
    <row r="133" spans="3:35" x14ac:dyDescent="0.2">
      <c r="C133" s="240"/>
      <c r="D133" s="240"/>
      <c r="E133" s="240"/>
      <c r="F133" s="240"/>
      <c r="G133" s="240"/>
      <c r="H133" s="240"/>
      <c r="I133" s="240"/>
      <c r="J133" s="240"/>
      <c r="K133" s="240"/>
      <c r="L133" s="240"/>
      <c r="M133" s="241"/>
      <c r="N133" s="241"/>
      <c r="O133" s="241"/>
      <c r="P133" s="241"/>
      <c r="Q133" s="241"/>
      <c r="R133" s="242"/>
      <c r="S133" s="243"/>
      <c r="T133" s="240"/>
      <c r="U133" s="240"/>
      <c r="V133" s="240"/>
      <c r="W133" s="240"/>
      <c r="X133" s="240"/>
      <c r="Y133" s="240"/>
      <c r="Z133" s="241"/>
      <c r="AA133" s="241"/>
      <c r="AB133" s="241"/>
      <c r="AC133" s="241"/>
      <c r="AD133" s="241"/>
      <c r="AE133" s="241"/>
      <c r="AF133" s="241"/>
      <c r="AG133" s="241"/>
      <c r="AH133" s="241"/>
      <c r="AI133" s="240"/>
    </row>
    <row r="134" spans="3:35" x14ac:dyDescent="0.2">
      <c r="C134" s="240"/>
      <c r="D134" s="240"/>
      <c r="E134" s="240"/>
      <c r="F134" s="240"/>
      <c r="G134" s="240"/>
      <c r="H134" s="240"/>
      <c r="I134" s="240"/>
      <c r="J134" s="240"/>
      <c r="K134" s="240"/>
      <c r="L134" s="240"/>
      <c r="M134" s="241"/>
      <c r="N134" s="241"/>
      <c r="O134" s="241"/>
      <c r="P134" s="241"/>
      <c r="Q134" s="241"/>
      <c r="R134" s="242"/>
      <c r="S134" s="243"/>
      <c r="T134" s="240"/>
      <c r="U134" s="240"/>
      <c r="V134" s="240"/>
      <c r="W134" s="240"/>
      <c r="X134" s="240"/>
      <c r="Y134" s="240"/>
      <c r="Z134" s="241"/>
      <c r="AA134" s="241"/>
      <c r="AB134" s="241"/>
      <c r="AC134" s="241"/>
      <c r="AD134" s="241"/>
      <c r="AE134" s="241"/>
      <c r="AF134" s="241"/>
      <c r="AG134" s="241"/>
      <c r="AH134" s="241"/>
      <c r="AI134" s="240"/>
    </row>
    <row r="135" spans="3:35" x14ac:dyDescent="0.2">
      <c r="C135" s="240"/>
      <c r="D135" s="240"/>
      <c r="E135" s="240"/>
      <c r="F135" s="240"/>
      <c r="G135" s="240"/>
      <c r="H135" s="240"/>
      <c r="I135" s="240"/>
      <c r="J135" s="240"/>
      <c r="K135" s="240"/>
      <c r="L135" s="240"/>
      <c r="M135" s="241"/>
      <c r="N135" s="241"/>
      <c r="O135" s="241"/>
      <c r="P135" s="241"/>
      <c r="Q135" s="241"/>
      <c r="R135" s="242"/>
      <c r="S135" s="243"/>
      <c r="T135" s="240"/>
      <c r="U135" s="240"/>
      <c r="V135" s="240"/>
      <c r="W135" s="240"/>
      <c r="X135" s="240"/>
      <c r="Y135" s="240"/>
      <c r="Z135" s="241"/>
      <c r="AA135" s="241"/>
      <c r="AB135" s="241"/>
      <c r="AC135" s="241"/>
      <c r="AD135" s="241"/>
      <c r="AE135" s="241"/>
      <c r="AF135" s="241"/>
      <c r="AG135" s="241"/>
      <c r="AH135" s="241"/>
      <c r="AI135" s="240"/>
    </row>
    <row r="136" spans="3:35" x14ac:dyDescent="0.2">
      <c r="C136" s="240"/>
      <c r="D136" s="240"/>
      <c r="E136" s="240"/>
      <c r="F136" s="240"/>
      <c r="G136" s="240"/>
      <c r="H136" s="240"/>
      <c r="I136" s="240"/>
      <c r="J136" s="240"/>
      <c r="K136" s="240"/>
      <c r="L136" s="240"/>
      <c r="M136" s="241"/>
      <c r="N136" s="241"/>
      <c r="O136" s="241"/>
      <c r="P136" s="241"/>
      <c r="Q136" s="241"/>
      <c r="R136" s="242"/>
      <c r="S136" s="243"/>
      <c r="T136" s="240"/>
      <c r="U136" s="240"/>
      <c r="V136" s="240"/>
      <c r="W136" s="240"/>
      <c r="X136" s="240"/>
      <c r="Y136" s="240"/>
      <c r="Z136" s="241"/>
      <c r="AA136" s="241"/>
      <c r="AB136" s="241"/>
      <c r="AC136" s="241"/>
      <c r="AD136" s="241"/>
      <c r="AE136" s="241"/>
      <c r="AF136" s="241"/>
      <c r="AG136" s="241"/>
      <c r="AH136" s="241"/>
      <c r="AI136" s="240"/>
    </row>
    <row r="137" spans="3:35" x14ac:dyDescent="0.2">
      <c r="C137" s="240"/>
      <c r="D137" s="240"/>
      <c r="E137" s="240"/>
      <c r="F137" s="240"/>
      <c r="G137" s="240"/>
      <c r="H137" s="240"/>
      <c r="I137" s="240"/>
      <c r="J137" s="240"/>
      <c r="K137" s="240"/>
      <c r="L137" s="240"/>
      <c r="M137" s="241"/>
      <c r="N137" s="241"/>
      <c r="O137" s="241"/>
      <c r="P137" s="241"/>
      <c r="Q137" s="241"/>
      <c r="R137" s="242"/>
      <c r="S137" s="243"/>
      <c r="T137" s="240"/>
      <c r="U137" s="240"/>
      <c r="V137" s="240"/>
      <c r="W137" s="240"/>
      <c r="X137" s="240"/>
      <c r="Y137" s="240"/>
      <c r="Z137" s="241"/>
      <c r="AA137" s="241"/>
      <c r="AB137" s="241"/>
      <c r="AC137" s="241"/>
      <c r="AD137" s="241"/>
      <c r="AE137" s="241"/>
      <c r="AF137" s="241"/>
      <c r="AG137" s="241"/>
      <c r="AH137" s="241"/>
      <c r="AI137" s="240"/>
    </row>
    <row r="138" spans="3:35" x14ac:dyDescent="0.2">
      <c r="C138" s="240"/>
      <c r="D138" s="240"/>
      <c r="E138" s="240"/>
      <c r="F138" s="240"/>
      <c r="G138" s="240"/>
      <c r="H138" s="240"/>
      <c r="I138" s="240"/>
      <c r="J138" s="240"/>
      <c r="K138" s="240"/>
      <c r="L138" s="240"/>
      <c r="M138" s="241"/>
      <c r="N138" s="241"/>
      <c r="O138" s="241"/>
      <c r="P138" s="241"/>
      <c r="Q138" s="241"/>
      <c r="R138" s="242"/>
      <c r="S138" s="243"/>
      <c r="T138" s="240"/>
      <c r="U138" s="240"/>
      <c r="V138" s="240"/>
      <c r="W138" s="240"/>
      <c r="X138" s="240"/>
      <c r="Y138" s="240"/>
      <c r="Z138" s="241"/>
      <c r="AA138" s="241"/>
      <c r="AB138" s="241"/>
      <c r="AC138" s="241"/>
      <c r="AD138" s="241"/>
      <c r="AE138" s="241"/>
      <c r="AF138" s="241"/>
      <c r="AG138" s="241"/>
      <c r="AH138" s="241"/>
      <c r="AI138" s="240"/>
    </row>
    <row r="139" spans="3:35" x14ac:dyDescent="0.2">
      <c r="C139" s="240"/>
      <c r="D139" s="240"/>
      <c r="E139" s="240"/>
      <c r="F139" s="240"/>
      <c r="G139" s="240"/>
      <c r="H139" s="240"/>
      <c r="I139" s="240"/>
      <c r="J139" s="240"/>
      <c r="K139" s="240"/>
      <c r="L139" s="240"/>
      <c r="M139" s="241"/>
      <c r="N139" s="241"/>
      <c r="O139" s="241"/>
      <c r="P139" s="241"/>
      <c r="Q139" s="241"/>
      <c r="R139" s="242"/>
      <c r="S139" s="243"/>
      <c r="T139" s="240"/>
      <c r="U139" s="240"/>
      <c r="V139" s="240"/>
      <c r="W139" s="240"/>
      <c r="X139" s="240"/>
      <c r="Y139" s="240"/>
      <c r="Z139" s="241"/>
      <c r="AA139" s="241"/>
      <c r="AB139" s="241"/>
      <c r="AC139" s="241"/>
      <c r="AD139" s="241"/>
      <c r="AE139" s="241"/>
      <c r="AF139" s="241"/>
      <c r="AG139" s="241"/>
      <c r="AH139" s="241"/>
      <c r="AI139" s="240"/>
    </row>
    <row r="140" spans="3:35" x14ac:dyDescent="0.2">
      <c r="C140" s="240"/>
      <c r="D140" s="240"/>
      <c r="E140" s="240"/>
      <c r="F140" s="240"/>
      <c r="G140" s="240"/>
      <c r="H140" s="240"/>
      <c r="I140" s="240"/>
      <c r="J140" s="240"/>
      <c r="K140" s="240"/>
      <c r="L140" s="240"/>
      <c r="M140" s="241"/>
      <c r="N140" s="241"/>
      <c r="O140" s="241"/>
      <c r="P140" s="241"/>
      <c r="Q140" s="241"/>
      <c r="R140" s="242"/>
      <c r="S140" s="243"/>
      <c r="T140" s="240"/>
      <c r="U140" s="240"/>
      <c r="V140" s="240"/>
      <c r="W140" s="240"/>
      <c r="X140" s="240"/>
      <c r="Y140" s="240"/>
      <c r="Z140" s="241"/>
      <c r="AA140" s="241"/>
      <c r="AB140" s="241"/>
      <c r="AC140" s="241"/>
      <c r="AD140" s="241"/>
      <c r="AE140" s="241"/>
      <c r="AF140" s="241"/>
      <c r="AG140" s="241"/>
      <c r="AH140" s="241"/>
      <c r="AI140" s="240"/>
    </row>
    <row r="141" spans="3:35" x14ac:dyDescent="0.2">
      <c r="C141" s="240"/>
      <c r="D141" s="240"/>
      <c r="E141" s="240"/>
      <c r="F141" s="240"/>
      <c r="G141" s="240"/>
      <c r="H141" s="240"/>
      <c r="I141" s="240"/>
      <c r="J141" s="240"/>
      <c r="K141" s="240"/>
      <c r="L141" s="240"/>
      <c r="M141" s="241"/>
      <c r="N141" s="241"/>
      <c r="O141" s="241"/>
      <c r="P141" s="241"/>
      <c r="Q141" s="241"/>
      <c r="R141" s="242"/>
      <c r="S141" s="243"/>
      <c r="T141" s="240"/>
      <c r="U141" s="240"/>
      <c r="V141" s="240"/>
      <c r="W141" s="240"/>
      <c r="X141" s="240"/>
      <c r="Y141" s="240"/>
      <c r="Z141" s="241"/>
      <c r="AA141" s="241"/>
      <c r="AB141" s="241"/>
      <c r="AC141" s="241"/>
      <c r="AD141" s="241"/>
      <c r="AE141" s="241"/>
      <c r="AF141" s="241"/>
      <c r="AG141" s="241"/>
      <c r="AH141" s="241"/>
      <c r="AI141" s="240"/>
    </row>
    <row r="142" spans="3:35" x14ac:dyDescent="0.2">
      <c r="C142" s="240"/>
      <c r="D142" s="240"/>
      <c r="E142" s="240"/>
      <c r="F142" s="240"/>
      <c r="G142" s="240"/>
      <c r="H142" s="240"/>
      <c r="I142" s="240"/>
      <c r="J142" s="240"/>
      <c r="K142" s="240"/>
      <c r="L142" s="240"/>
      <c r="M142" s="241"/>
      <c r="N142" s="241"/>
      <c r="O142" s="241"/>
      <c r="P142" s="241"/>
      <c r="Q142" s="241"/>
      <c r="R142" s="242"/>
      <c r="S142" s="243"/>
      <c r="T142" s="240"/>
      <c r="U142" s="240"/>
      <c r="V142" s="240"/>
      <c r="W142" s="240"/>
      <c r="X142" s="240"/>
      <c r="Y142" s="240"/>
      <c r="Z142" s="241"/>
      <c r="AA142" s="241"/>
      <c r="AB142" s="241"/>
      <c r="AC142" s="241"/>
      <c r="AD142" s="241"/>
      <c r="AE142" s="241"/>
      <c r="AF142" s="241"/>
      <c r="AG142" s="241"/>
      <c r="AH142" s="241"/>
      <c r="AI142" s="240"/>
    </row>
    <row r="143" spans="3:35" x14ac:dyDescent="0.2">
      <c r="C143" s="240"/>
      <c r="D143" s="240"/>
      <c r="E143" s="240"/>
      <c r="F143" s="240"/>
      <c r="G143" s="240"/>
      <c r="H143" s="240"/>
      <c r="I143" s="240"/>
      <c r="J143" s="240"/>
      <c r="K143" s="240"/>
      <c r="L143" s="240"/>
      <c r="M143" s="241"/>
      <c r="N143" s="241"/>
      <c r="O143" s="241"/>
      <c r="P143" s="241"/>
      <c r="Q143" s="241"/>
      <c r="R143" s="242"/>
      <c r="S143" s="243"/>
      <c r="T143" s="240"/>
      <c r="U143" s="240"/>
      <c r="V143" s="240"/>
      <c r="W143" s="240"/>
      <c r="X143" s="240"/>
      <c r="Y143" s="240"/>
      <c r="Z143" s="241"/>
      <c r="AA143" s="241"/>
      <c r="AB143" s="241"/>
      <c r="AC143" s="241"/>
      <c r="AD143" s="241"/>
      <c r="AE143" s="241"/>
      <c r="AF143" s="241"/>
      <c r="AG143" s="241"/>
      <c r="AH143" s="241"/>
      <c r="AI143" s="240"/>
    </row>
    <row r="144" spans="3:35" x14ac:dyDescent="0.2">
      <c r="C144" s="240"/>
      <c r="D144" s="240"/>
      <c r="E144" s="240"/>
      <c r="F144" s="240"/>
      <c r="G144" s="240"/>
      <c r="H144" s="240"/>
      <c r="I144" s="240"/>
      <c r="J144" s="240"/>
      <c r="K144" s="240"/>
      <c r="L144" s="240"/>
      <c r="M144" s="241"/>
      <c r="N144" s="241"/>
      <c r="O144" s="241"/>
      <c r="P144" s="241"/>
      <c r="Q144" s="241"/>
      <c r="R144" s="242"/>
      <c r="S144" s="243"/>
      <c r="T144" s="240"/>
      <c r="U144" s="240"/>
      <c r="V144" s="240"/>
      <c r="W144" s="240"/>
      <c r="X144" s="240"/>
      <c r="Y144" s="240"/>
      <c r="Z144" s="241"/>
      <c r="AA144" s="241"/>
      <c r="AB144" s="241"/>
      <c r="AC144" s="241"/>
      <c r="AD144" s="241"/>
      <c r="AE144" s="241"/>
      <c r="AF144" s="241"/>
      <c r="AG144" s="241"/>
      <c r="AH144" s="241"/>
      <c r="AI144" s="240"/>
    </row>
    <row r="145" spans="3:35" x14ac:dyDescent="0.2">
      <c r="C145" s="240"/>
      <c r="D145" s="240"/>
      <c r="E145" s="240"/>
      <c r="F145" s="240"/>
      <c r="G145" s="240"/>
      <c r="H145" s="240"/>
      <c r="I145" s="240"/>
      <c r="J145" s="240"/>
      <c r="K145" s="240"/>
      <c r="L145" s="240"/>
      <c r="M145" s="241"/>
      <c r="N145" s="241"/>
      <c r="O145" s="241"/>
      <c r="P145" s="241"/>
      <c r="Q145" s="241"/>
      <c r="R145" s="242"/>
      <c r="S145" s="243"/>
      <c r="T145" s="240"/>
      <c r="U145" s="240"/>
      <c r="V145" s="240"/>
      <c r="W145" s="240"/>
      <c r="X145" s="240"/>
      <c r="Y145" s="240"/>
      <c r="Z145" s="241"/>
      <c r="AA145" s="241"/>
      <c r="AB145" s="241"/>
      <c r="AC145" s="241"/>
      <c r="AD145" s="241"/>
      <c r="AE145" s="241"/>
      <c r="AF145" s="241"/>
      <c r="AG145" s="241"/>
      <c r="AH145" s="241"/>
      <c r="AI145" s="240"/>
    </row>
    <row r="146" spans="3:35" x14ac:dyDescent="0.2">
      <c r="C146" s="240"/>
      <c r="D146" s="240"/>
      <c r="E146" s="240"/>
      <c r="F146" s="240"/>
      <c r="G146" s="240"/>
      <c r="H146" s="240"/>
      <c r="I146" s="240"/>
      <c r="J146" s="240"/>
      <c r="K146" s="240"/>
      <c r="L146" s="240"/>
      <c r="M146" s="241"/>
      <c r="N146" s="241"/>
      <c r="O146" s="241"/>
      <c r="P146" s="241"/>
      <c r="Q146" s="241"/>
      <c r="R146" s="242"/>
      <c r="S146" s="243"/>
      <c r="T146" s="240"/>
      <c r="U146" s="240"/>
      <c r="V146" s="240"/>
      <c r="W146" s="240"/>
      <c r="X146" s="240"/>
      <c r="Y146" s="240"/>
      <c r="Z146" s="241"/>
      <c r="AA146" s="241"/>
      <c r="AB146" s="241"/>
      <c r="AC146" s="241"/>
      <c r="AD146" s="241"/>
      <c r="AE146" s="241"/>
      <c r="AF146" s="241"/>
      <c r="AG146" s="241"/>
      <c r="AH146" s="241"/>
      <c r="AI146" s="240"/>
    </row>
    <row r="147" spans="3:35" x14ac:dyDescent="0.2">
      <c r="C147" s="240"/>
      <c r="D147" s="240"/>
      <c r="E147" s="240"/>
      <c r="F147" s="240"/>
      <c r="G147" s="240"/>
      <c r="H147" s="240"/>
      <c r="I147" s="240"/>
      <c r="J147" s="240"/>
      <c r="K147" s="240"/>
      <c r="L147" s="240"/>
      <c r="M147" s="241"/>
      <c r="N147" s="241"/>
      <c r="O147" s="241"/>
      <c r="P147" s="241"/>
      <c r="Q147" s="241"/>
      <c r="R147" s="242"/>
      <c r="S147" s="243"/>
      <c r="T147" s="240"/>
      <c r="U147" s="240"/>
      <c r="V147" s="240"/>
      <c r="W147" s="240"/>
      <c r="X147" s="240"/>
      <c r="Y147" s="240"/>
      <c r="Z147" s="241"/>
      <c r="AA147" s="241"/>
      <c r="AB147" s="241"/>
      <c r="AC147" s="241"/>
      <c r="AD147" s="241"/>
      <c r="AE147" s="241"/>
      <c r="AF147" s="241"/>
      <c r="AG147" s="241"/>
      <c r="AH147" s="241"/>
      <c r="AI147" s="240"/>
    </row>
    <row r="148" spans="3:35" x14ac:dyDescent="0.2">
      <c r="C148" s="240"/>
      <c r="D148" s="240"/>
      <c r="E148" s="240"/>
      <c r="F148" s="240"/>
      <c r="G148" s="240"/>
      <c r="H148" s="240"/>
      <c r="I148" s="240"/>
      <c r="J148" s="240"/>
      <c r="K148" s="240"/>
      <c r="L148" s="240"/>
      <c r="M148" s="241"/>
      <c r="N148" s="241"/>
      <c r="O148" s="241"/>
      <c r="P148" s="241"/>
      <c r="Q148" s="241"/>
      <c r="R148" s="242"/>
      <c r="S148" s="243"/>
      <c r="T148" s="240"/>
      <c r="U148" s="240"/>
      <c r="V148" s="240"/>
      <c r="W148" s="240"/>
      <c r="X148" s="240"/>
      <c r="Y148" s="240"/>
      <c r="Z148" s="241"/>
      <c r="AA148" s="241"/>
      <c r="AB148" s="241"/>
      <c r="AC148" s="241"/>
      <c r="AD148" s="241"/>
      <c r="AE148" s="241"/>
      <c r="AF148" s="241"/>
      <c r="AG148" s="241"/>
      <c r="AH148" s="241"/>
      <c r="AI148" s="240"/>
    </row>
    <row r="149" spans="3:35" x14ac:dyDescent="0.2">
      <c r="C149" s="240"/>
      <c r="D149" s="240"/>
      <c r="E149" s="240"/>
      <c r="F149" s="240"/>
      <c r="G149" s="240"/>
      <c r="H149" s="240"/>
      <c r="I149" s="240"/>
      <c r="J149" s="240"/>
      <c r="K149" s="240"/>
      <c r="L149" s="240"/>
      <c r="M149" s="241"/>
      <c r="N149" s="241"/>
      <c r="O149" s="241"/>
      <c r="P149" s="241"/>
      <c r="Q149" s="241"/>
      <c r="R149" s="242"/>
      <c r="S149" s="243"/>
      <c r="T149" s="240"/>
      <c r="U149" s="240"/>
      <c r="V149" s="240"/>
      <c r="W149" s="240"/>
      <c r="X149" s="240"/>
      <c r="Y149" s="240"/>
      <c r="Z149" s="241"/>
      <c r="AA149" s="241"/>
      <c r="AB149" s="241"/>
      <c r="AC149" s="241"/>
      <c r="AD149" s="241"/>
      <c r="AE149" s="241"/>
      <c r="AF149" s="241"/>
      <c r="AG149" s="241"/>
      <c r="AH149" s="241"/>
      <c r="AI149" s="240"/>
    </row>
    <row r="150" spans="3:35" x14ac:dyDescent="0.2">
      <c r="C150" s="240"/>
      <c r="D150" s="240"/>
      <c r="E150" s="240"/>
      <c r="F150" s="240"/>
      <c r="G150" s="240"/>
      <c r="H150" s="240"/>
      <c r="I150" s="240"/>
      <c r="J150" s="240"/>
      <c r="K150" s="240"/>
      <c r="L150" s="240"/>
      <c r="M150" s="241"/>
      <c r="N150" s="241"/>
      <c r="O150" s="241"/>
      <c r="P150" s="241"/>
      <c r="Q150" s="241"/>
      <c r="R150" s="242"/>
      <c r="S150" s="243"/>
      <c r="T150" s="240"/>
      <c r="U150" s="240"/>
      <c r="V150" s="240"/>
      <c r="W150" s="240"/>
      <c r="X150" s="240"/>
      <c r="Y150" s="240"/>
      <c r="Z150" s="241"/>
      <c r="AA150" s="241"/>
      <c r="AB150" s="241"/>
      <c r="AC150" s="241"/>
      <c r="AD150" s="241"/>
      <c r="AE150" s="241"/>
      <c r="AF150" s="241"/>
      <c r="AG150" s="241"/>
      <c r="AH150" s="241"/>
      <c r="AI150" s="240"/>
    </row>
    <row r="151" spans="3:35" x14ac:dyDescent="0.2">
      <c r="C151" s="240"/>
      <c r="D151" s="240"/>
      <c r="E151" s="240"/>
      <c r="F151" s="240"/>
      <c r="G151" s="240"/>
      <c r="H151" s="240"/>
      <c r="I151" s="240"/>
      <c r="J151" s="240"/>
      <c r="K151" s="240"/>
      <c r="L151" s="240"/>
      <c r="M151" s="241"/>
      <c r="N151" s="241"/>
      <c r="O151" s="241"/>
      <c r="P151" s="241"/>
      <c r="Q151" s="241"/>
      <c r="R151" s="242"/>
      <c r="S151" s="243"/>
      <c r="T151" s="240"/>
      <c r="U151" s="240"/>
      <c r="V151" s="240"/>
      <c r="W151" s="240"/>
      <c r="X151" s="240"/>
      <c r="Y151" s="240"/>
      <c r="Z151" s="241"/>
      <c r="AA151" s="241"/>
      <c r="AB151" s="241"/>
      <c r="AC151" s="241"/>
      <c r="AD151" s="241"/>
      <c r="AE151" s="241"/>
      <c r="AF151" s="241"/>
      <c r="AG151" s="241"/>
      <c r="AH151" s="241"/>
      <c r="AI151" s="240"/>
    </row>
    <row r="152" spans="3:35" x14ac:dyDescent="0.2">
      <c r="C152" s="240"/>
      <c r="D152" s="240"/>
      <c r="E152" s="240"/>
      <c r="F152" s="240"/>
      <c r="G152" s="240"/>
      <c r="H152" s="240"/>
      <c r="I152" s="240"/>
      <c r="J152" s="240"/>
      <c r="K152" s="240"/>
      <c r="L152" s="240"/>
      <c r="M152" s="241"/>
      <c r="N152" s="241"/>
      <c r="O152" s="241"/>
      <c r="P152" s="241"/>
      <c r="Q152" s="241"/>
      <c r="R152" s="242"/>
      <c r="S152" s="243"/>
      <c r="T152" s="240"/>
      <c r="U152" s="240"/>
      <c r="V152" s="240"/>
      <c r="W152" s="240"/>
      <c r="X152" s="240"/>
      <c r="Y152" s="240"/>
      <c r="Z152" s="241"/>
      <c r="AA152" s="241"/>
      <c r="AB152" s="241"/>
      <c r="AC152" s="241"/>
      <c r="AD152" s="241"/>
      <c r="AE152" s="241"/>
      <c r="AF152" s="241"/>
      <c r="AG152" s="241"/>
      <c r="AH152" s="241"/>
      <c r="AI152" s="240"/>
    </row>
    <row r="153" spans="3:35" x14ac:dyDescent="0.2">
      <c r="C153" s="240"/>
      <c r="D153" s="240"/>
      <c r="E153" s="240"/>
      <c r="F153" s="240"/>
      <c r="G153" s="240"/>
      <c r="H153" s="240"/>
      <c r="I153" s="240"/>
      <c r="J153" s="240"/>
      <c r="K153" s="240"/>
      <c r="L153" s="240"/>
      <c r="M153" s="241"/>
      <c r="N153" s="241"/>
      <c r="O153" s="241"/>
      <c r="P153" s="241"/>
      <c r="Q153" s="241"/>
      <c r="R153" s="242"/>
      <c r="S153" s="243"/>
      <c r="T153" s="240"/>
      <c r="U153" s="240"/>
      <c r="V153" s="240"/>
      <c r="W153" s="240"/>
      <c r="X153" s="240"/>
      <c r="Y153" s="240"/>
      <c r="Z153" s="241"/>
      <c r="AA153" s="241"/>
      <c r="AB153" s="241"/>
      <c r="AC153" s="241"/>
      <c r="AD153" s="241"/>
      <c r="AE153" s="241"/>
      <c r="AF153" s="241"/>
      <c r="AG153" s="241"/>
      <c r="AH153" s="241"/>
      <c r="AI153" s="240"/>
    </row>
    <row r="154" spans="3:35" x14ac:dyDescent="0.2">
      <c r="C154" s="240"/>
      <c r="D154" s="240"/>
      <c r="E154" s="240"/>
      <c r="F154" s="240"/>
      <c r="G154" s="240"/>
      <c r="H154" s="240"/>
      <c r="I154" s="240"/>
      <c r="J154" s="240"/>
      <c r="K154" s="240"/>
      <c r="L154" s="240"/>
      <c r="M154" s="241"/>
      <c r="N154" s="241"/>
      <c r="O154" s="241"/>
      <c r="P154" s="241"/>
      <c r="Q154" s="241"/>
      <c r="R154" s="242"/>
      <c r="S154" s="243"/>
      <c r="T154" s="240"/>
      <c r="U154" s="240"/>
      <c r="V154" s="240"/>
      <c r="W154" s="240"/>
      <c r="X154" s="240"/>
      <c r="Y154" s="240"/>
      <c r="Z154" s="241"/>
      <c r="AA154" s="241"/>
      <c r="AB154" s="241"/>
      <c r="AC154" s="241"/>
      <c r="AD154" s="241"/>
      <c r="AE154" s="241"/>
      <c r="AF154" s="241"/>
      <c r="AG154" s="241"/>
      <c r="AH154" s="241"/>
      <c r="AI154" s="240"/>
    </row>
    <row r="155" spans="3:35" x14ac:dyDescent="0.2">
      <c r="C155" s="240"/>
      <c r="D155" s="240"/>
      <c r="E155" s="240"/>
      <c r="F155" s="240"/>
      <c r="G155" s="240"/>
      <c r="H155" s="240"/>
      <c r="I155" s="240"/>
      <c r="J155" s="240"/>
      <c r="K155" s="240"/>
      <c r="L155" s="240"/>
      <c r="M155" s="241"/>
      <c r="N155" s="241"/>
      <c r="O155" s="241"/>
      <c r="P155" s="241"/>
      <c r="Q155" s="241"/>
      <c r="R155" s="242"/>
      <c r="S155" s="243"/>
      <c r="T155" s="240"/>
      <c r="U155" s="240"/>
      <c r="V155" s="240"/>
      <c r="W155" s="240"/>
      <c r="X155" s="240"/>
      <c r="Y155" s="240"/>
      <c r="Z155" s="241"/>
      <c r="AA155" s="241"/>
      <c r="AB155" s="241"/>
      <c r="AC155" s="241"/>
      <c r="AD155" s="241"/>
      <c r="AE155" s="241"/>
      <c r="AF155" s="241"/>
      <c r="AG155" s="241"/>
      <c r="AH155" s="241"/>
      <c r="AI155" s="240"/>
    </row>
    <row r="156" spans="3:35" x14ac:dyDescent="0.2">
      <c r="C156" s="240"/>
      <c r="D156" s="240"/>
      <c r="E156" s="240"/>
      <c r="F156" s="240"/>
      <c r="G156" s="240"/>
      <c r="H156" s="240"/>
      <c r="I156" s="240"/>
      <c r="J156" s="240"/>
      <c r="K156" s="240"/>
      <c r="L156" s="240"/>
      <c r="M156" s="241"/>
      <c r="N156" s="241"/>
      <c r="O156" s="241"/>
      <c r="P156" s="241"/>
      <c r="Q156" s="241"/>
      <c r="R156" s="242"/>
      <c r="S156" s="243"/>
      <c r="T156" s="240"/>
      <c r="U156" s="240"/>
      <c r="V156" s="240"/>
      <c r="W156" s="240"/>
      <c r="X156" s="240"/>
      <c r="Y156" s="240"/>
      <c r="Z156" s="241"/>
      <c r="AA156" s="241"/>
      <c r="AB156" s="241"/>
      <c r="AC156" s="241"/>
      <c r="AD156" s="241"/>
      <c r="AE156" s="241"/>
      <c r="AF156" s="241"/>
      <c r="AG156" s="241"/>
      <c r="AH156" s="241"/>
      <c r="AI156" s="240"/>
    </row>
    <row r="157" spans="3:35" x14ac:dyDescent="0.2">
      <c r="C157" s="240"/>
      <c r="D157" s="240"/>
      <c r="E157" s="240"/>
      <c r="F157" s="240"/>
      <c r="G157" s="240"/>
      <c r="H157" s="240"/>
      <c r="I157" s="240"/>
      <c r="J157" s="240"/>
      <c r="K157" s="240"/>
      <c r="L157" s="240"/>
      <c r="M157" s="241"/>
      <c r="N157" s="241"/>
      <c r="O157" s="241"/>
      <c r="P157" s="241"/>
      <c r="Q157" s="241"/>
      <c r="R157" s="242"/>
      <c r="S157" s="243"/>
      <c r="T157" s="240"/>
      <c r="U157" s="240"/>
      <c r="V157" s="240"/>
      <c r="W157" s="240"/>
      <c r="X157" s="240"/>
      <c r="Y157" s="240"/>
      <c r="Z157" s="241"/>
      <c r="AA157" s="241"/>
      <c r="AB157" s="241"/>
      <c r="AC157" s="241"/>
      <c r="AD157" s="241"/>
      <c r="AE157" s="241"/>
      <c r="AF157" s="241"/>
      <c r="AG157" s="241"/>
      <c r="AH157" s="241"/>
      <c r="AI157" s="240"/>
    </row>
    <row r="158" spans="3:35" x14ac:dyDescent="0.2">
      <c r="C158" s="240"/>
      <c r="D158" s="240"/>
      <c r="E158" s="240"/>
      <c r="F158" s="240"/>
      <c r="G158" s="240"/>
      <c r="H158" s="240"/>
      <c r="I158" s="240"/>
      <c r="J158" s="240"/>
      <c r="K158" s="240"/>
      <c r="L158" s="240"/>
      <c r="M158" s="241"/>
      <c r="N158" s="241"/>
      <c r="O158" s="241"/>
      <c r="P158" s="241"/>
      <c r="Q158" s="241"/>
      <c r="R158" s="242"/>
      <c r="S158" s="243"/>
      <c r="T158" s="240"/>
      <c r="U158" s="240"/>
      <c r="V158" s="240"/>
      <c r="W158" s="240"/>
      <c r="X158" s="240"/>
      <c r="Y158" s="240"/>
      <c r="Z158" s="241"/>
      <c r="AA158" s="241"/>
      <c r="AB158" s="241"/>
      <c r="AC158" s="241"/>
      <c r="AD158" s="241"/>
      <c r="AE158" s="241"/>
      <c r="AF158" s="241"/>
      <c r="AG158" s="241"/>
      <c r="AH158" s="241"/>
      <c r="AI158" s="240"/>
    </row>
    <row r="159" spans="3:35" x14ac:dyDescent="0.2">
      <c r="C159" s="240"/>
      <c r="D159" s="240"/>
      <c r="E159" s="240"/>
      <c r="F159" s="240"/>
      <c r="G159" s="240"/>
      <c r="H159" s="240"/>
      <c r="I159" s="240"/>
      <c r="J159" s="240"/>
      <c r="K159" s="240"/>
      <c r="L159" s="240"/>
      <c r="M159" s="241"/>
      <c r="N159" s="241"/>
      <c r="O159" s="241"/>
      <c r="P159" s="241"/>
      <c r="Q159" s="241"/>
      <c r="R159" s="242"/>
      <c r="S159" s="243"/>
      <c r="T159" s="240"/>
      <c r="U159" s="240"/>
      <c r="V159" s="240"/>
      <c r="W159" s="240"/>
      <c r="X159" s="240"/>
      <c r="Y159" s="240"/>
      <c r="Z159" s="241"/>
      <c r="AA159" s="241"/>
      <c r="AB159" s="241"/>
      <c r="AC159" s="241"/>
      <c r="AD159" s="241"/>
      <c r="AE159" s="241"/>
      <c r="AF159" s="241"/>
      <c r="AG159" s="241"/>
      <c r="AH159" s="241"/>
      <c r="AI159" s="240"/>
    </row>
    <row r="160" spans="3:35" x14ac:dyDescent="0.2">
      <c r="C160" s="240"/>
      <c r="D160" s="240"/>
      <c r="E160" s="240"/>
      <c r="F160" s="240"/>
      <c r="G160" s="240"/>
      <c r="H160" s="240"/>
      <c r="I160" s="240"/>
      <c r="J160" s="240"/>
      <c r="K160" s="240"/>
      <c r="L160" s="240"/>
      <c r="M160" s="241"/>
      <c r="N160" s="241"/>
      <c r="O160" s="241"/>
      <c r="P160" s="241"/>
      <c r="Q160" s="241"/>
      <c r="R160" s="242"/>
      <c r="S160" s="243"/>
      <c r="T160" s="240"/>
      <c r="U160" s="240"/>
      <c r="V160" s="240"/>
      <c r="W160" s="240"/>
      <c r="X160" s="240"/>
      <c r="Y160" s="240"/>
      <c r="Z160" s="241"/>
      <c r="AA160" s="241"/>
      <c r="AB160" s="241"/>
      <c r="AC160" s="241"/>
      <c r="AD160" s="241"/>
      <c r="AE160" s="241"/>
      <c r="AF160" s="241"/>
      <c r="AG160" s="241"/>
      <c r="AH160" s="241"/>
      <c r="AI160" s="240"/>
    </row>
    <row r="161" spans="3:35" x14ac:dyDescent="0.2">
      <c r="C161" s="240"/>
      <c r="D161" s="240"/>
      <c r="E161" s="240"/>
      <c r="F161" s="240"/>
      <c r="G161" s="240"/>
      <c r="H161" s="240"/>
      <c r="I161" s="240"/>
      <c r="J161" s="240"/>
      <c r="K161" s="240"/>
      <c r="L161" s="240"/>
      <c r="M161" s="241"/>
      <c r="N161" s="241"/>
      <c r="O161" s="241"/>
      <c r="P161" s="241"/>
      <c r="Q161" s="241"/>
      <c r="R161" s="242"/>
      <c r="S161" s="243"/>
      <c r="T161" s="240"/>
      <c r="U161" s="240"/>
      <c r="V161" s="240"/>
      <c r="W161" s="240"/>
      <c r="X161" s="240"/>
      <c r="Y161" s="240"/>
      <c r="Z161" s="241"/>
      <c r="AA161" s="241"/>
      <c r="AB161" s="241"/>
      <c r="AC161" s="241"/>
      <c r="AD161" s="241"/>
      <c r="AE161" s="241"/>
      <c r="AF161" s="241"/>
      <c r="AG161" s="241"/>
      <c r="AH161" s="241"/>
      <c r="AI161" s="240"/>
    </row>
    <row r="162" spans="3:35" x14ac:dyDescent="0.2">
      <c r="C162" s="240"/>
      <c r="D162" s="240"/>
      <c r="E162" s="240"/>
      <c r="F162" s="240"/>
      <c r="G162" s="240"/>
      <c r="H162" s="240"/>
      <c r="I162" s="240"/>
      <c r="J162" s="240"/>
      <c r="K162" s="240"/>
      <c r="L162" s="240"/>
      <c r="M162" s="241"/>
      <c r="N162" s="241"/>
      <c r="O162" s="241"/>
      <c r="P162" s="241"/>
      <c r="Q162" s="241"/>
      <c r="R162" s="242"/>
      <c r="S162" s="243"/>
      <c r="T162" s="240"/>
      <c r="U162" s="240"/>
      <c r="V162" s="240"/>
      <c r="W162" s="240"/>
      <c r="X162" s="240"/>
      <c r="Y162" s="240"/>
      <c r="Z162" s="241"/>
      <c r="AA162" s="241"/>
      <c r="AB162" s="241"/>
      <c r="AC162" s="241"/>
      <c r="AD162" s="241"/>
      <c r="AE162" s="241"/>
      <c r="AF162" s="241"/>
      <c r="AG162" s="241"/>
      <c r="AH162" s="241"/>
      <c r="AI162" s="240"/>
    </row>
    <row r="163" spans="3:35" x14ac:dyDescent="0.2">
      <c r="C163" s="240"/>
      <c r="D163" s="240"/>
      <c r="E163" s="240"/>
      <c r="F163" s="240"/>
      <c r="G163" s="240"/>
      <c r="H163" s="240"/>
      <c r="I163" s="240"/>
      <c r="J163" s="240"/>
      <c r="K163" s="240"/>
      <c r="L163" s="240"/>
      <c r="M163" s="241"/>
      <c r="N163" s="241"/>
      <c r="O163" s="241"/>
      <c r="P163" s="241"/>
      <c r="Q163" s="241"/>
      <c r="R163" s="242"/>
      <c r="S163" s="243"/>
      <c r="T163" s="240"/>
      <c r="U163" s="240"/>
      <c r="V163" s="240"/>
      <c r="W163" s="240"/>
      <c r="X163" s="240"/>
      <c r="Y163" s="240"/>
      <c r="Z163" s="241"/>
      <c r="AA163" s="241"/>
      <c r="AB163" s="241"/>
      <c r="AC163" s="241"/>
      <c r="AD163" s="241"/>
      <c r="AE163" s="241"/>
      <c r="AF163" s="241"/>
      <c r="AG163" s="241"/>
      <c r="AH163" s="241"/>
      <c r="AI163" s="240"/>
    </row>
    <row r="164" spans="3:35" x14ac:dyDescent="0.2">
      <c r="C164" s="240"/>
      <c r="D164" s="240"/>
      <c r="E164" s="240"/>
      <c r="F164" s="240"/>
      <c r="G164" s="240"/>
      <c r="H164" s="240"/>
      <c r="I164" s="240"/>
      <c r="J164" s="240"/>
      <c r="K164" s="240"/>
      <c r="L164" s="240"/>
      <c r="M164" s="241"/>
      <c r="N164" s="241"/>
      <c r="O164" s="241"/>
      <c r="P164" s="241"/>
      <c r="Q164" s="241"/>
      <c r="R164" s="242"/>
      <c r="S164" s="243"/>
      <c r="T164" s="240"/>
      <c r="U164" s="240"/>
      <c r="V164" s="240"/>
      <c r="W164" s="240"/>
      <c r="X164" s="240"/>
      <c r="Y164" s="240"/>
      <c r="Z164" s="241"/>
      <c r="AA164" s="241"/>
      <c r="AB164" s="241"/>
      <c r="AC164" s="241"/>
      <c r="AD164" s="241"/>
      <c r="AE164" s="241"/>
      <c r="AF164" s="241"/>
      <c r="AG164" s="241"/>
      <c r="AH164" s="241"/>
      <c r="AI164" s="240"/>
    </row>
    <row r="165" spans="3:35" x14ac:dyDescent="0.2">
      <c r="C165" s="240"/>
      <c r="D165" s="240"/>
      <c r="E165" s="240"/>
      <c r="F165" s="240"/>
      <c r="G165" s="240"/>
      <c r="H165" s="240"/>
      <c r="I165" s="240"/>
      <c r="J165" s="240"/>
      <c r="K165" s="240"/>
      <c r="L165" s="240"/>
      <c r="M165" s="241"/>
      <c r="N165" s="241"/>
      <c r="O165" s="241"/>
      <c r="P165" s="241"/>
      <c r="Q165" s="241"/>
      <c r="R165" s="242"/>
      <c r="S165" s="243"/>
      <c r="T165" s="240"/>
      <c r="U165" s="240"/>
      <c r="V165" s="240"/>
      <c r="W165" s="240"/>
      <c r="X165" s="240"/>
      <c r="Y165" s="240"/>
      <c r="Z165" s="241"/>
      <c r="AA165" s="241"/>
      <c r="AB165" s="241"/>
      <c r="AC165" s="241"/>
      <c r="AD165" s="241"/>
      <c r="AE165" s="241"/>
      <c r="AF165" s="241"/>
      <c r="AG165" s="241"/>
      <c r="AH165" s="241"/>
      <c r="AI165" s="240"/>
    </row>
    <row r="166" spans="3:35" x14ac:dyDescent="0.2">
      <c r="C166" s="240"/>
      <c r="D166" s="240"/>
      <c r="E166" s="240"/>
      <c r="F166" s="240"/>
      <c r="G166" s="240"/>
      <c r="H166" s="240"/>
      <c r="I166" s="240"/>
      <c r="J166" s="240"/>
      <c r="K166" s="240"/>
      <c r="L166" s="240"/>
      <c r="M166" s="241"/>
      <c r="N166" s="241"/>
      <c r="O166" s="241"/>
      <c r="P166" s="241"/>
      <c r="Q166" s="241"/>
      <c r="R166" s="242"/>
      <c r="S166" s="243"/>
      <c r="T166" s="240"/>
      <c r="U166" s="240"/>
      <c r="V166" s="240"/>
      <c r="W166" s="240"/>
      <c r="X166" s="240"/>
      <c r="Y166" s="240"/>
      <c r="Z166" s="241"/>
      <c r="AA166" s="241"/>
      <c r="AB166" s="241"/>
      <c r="AC166" s="241"/>
      <c r="AD166" s="241"/>
      <c r="AE166" s="241"/>
      <c r="AF166" s="241"/>
      <c r="AG166" s="241"/>
      <c r="AH166" s="241"/>
      <c r="AI166" s="240"/>
    </row>
    <row r="167" spans="3:35" x14ac:dyDescent="0.2">
      <c r="C167" s="240"/>
      <c r="D167" s="240"/>
      <c r="E167" s="240"/>
      <c r="F167" s="240"/>
      <c r="G167" s="240"/>
      <c r="H167" s="240"/>
      <c r="I167" s="240"/>
      <c r="J167" s="240"/>
      <c r="K167" s="240"/>
      <c r="L167" s="240"/>
      <c r="M167" s="241"/>
      <c r="N167" s="241"/>
      <c r="O167" s="241"/>
      <c r="P167" s="241"/>
      <c r="Q167" s="241"/>
      <c r="R167" s="242"/>
      <c r="S167" s="243"/>
      <c r="T167" s="240"/>
      <c r="U167" s="240"/>
      <c r="V167" s="240"/>
      <c r="W167" s="240"/>
      <c r="X167" s="240"/>
      <c r="Y167" s="240"/>
      <c r="Z167" s="241"/>
      <c r="AA167" s="241"/>
      <c r="AB167" s="241"/>
      <c r="AC167" s="241"/>
      <c r="AD167" s="241"/>
      <c r="AE167" s="241"/>
      <c r="AF167" s="241"/>
      <c r="AG167" s="241"/>
      <c r="AH167" s="241"/>
      <c r="AI167" s="240"/>
    </row>
    <row r="168" spans="3:35" x14ac:dyDescent="0.2">
      <c r="C168" s="240"/>
      <c r="D168" s="240"/>
      <c r="E168" s="240"/>
      <c r="F168" s="240"/>
      <c r="G168" s="240"/>
      <c r="H168" s="240"/>
      <c r="I168" s="240"/>
      <c r="J168" s="240"/>
      <c r="K168" s="240"/>
      <c r="L168" s="240"/>
      <c r="M168" s="241"/>
      <c r="N168" s="241"/>
      <c r="O168" s="241"/>
      <c r="P168" s="241"/>
      <c r="Q168" s="241"/>
      <c r="R168" s="242"/>
      <c r="S168" s="243"/>
      <c r="T168" s="240"/>
      <c r="U168" s="240"/>
      <c r="V168" s="240"/>
      <c r="W168" s="240"/>
      <c r="X168" s="240"/>
      <c r="Y168" s="240"/>
      <c r="Z168" s="241"/>
      <c r="AA168" s="241"/>
      <c r="AB168" s="241"/>
      <c r="AC168" s="241"/>
      <c r="AD168" s="241"/>
      <c r="AE168" s="241"/>
      <c r="AF168" s="241"/>
      <c r="AG168" s="241"/>
      <c r="AH168" s="241"/>
      <c r="AI168" s="240"/>
    </row>
    <row r="169" spans="3:35" x14ac:dyDescent="0.2">
      <c r="C169" s="240"/>
      <c r="D169" s="240"/>
      <c r="E169" s="240"/>
      <c r="F169" s="240"/>
      <c r="G169" s="240"/>
      <c r="H169" s="240"/>
      <c r="I169" s="240"/>
      <c r="J169" s="240"/>
      <c r="K169" s="240"/>
      <c r="L169" s="240"/>
      <c r="M169" s="241"/>
      <c r="N169" s="241"/>
      <c r="O169" s="241"/>
      <c r="P169" s="241"/>
      <c r="Q169" s="241"/>
      <c r="R169" s="242"/>
      <c r="S169" s="243"/>
      <c r="T169" s="240"/>
      <c r="U169" s="240"/>
      <c r="V169" s="240"/>
      <c r="W169" s="240"/>
      <c r="X169" s="240"/>
      <c r="Y169" s="240"/>
      <c r="Z169" s="241"/>
      <c r="AA169" s="241"/>
      <c r="AB169" s="241"/>
      <c r="AC169" s="241"/>
      <c r="AD169" s="241"/>
      <c r="AE169" s="241"/>
      <c r="AF169" s="241"/>
      <c r="AG169" s="241"/>
      <c r="AH169" s="241"/>
      <c r="AI169" s="240"/>
    </row>
    <row r="170" spans="3:35" x14ac:dyDescent="0.2">
      <c r="C170" s="240"/>
      <c r="D170" s="240"/>
      <c r="E170" s="240"/>
      <c r="F170" s="240"/>
      <c r="G170" s="240"/>
      <c r="H170" s="240"/>
      <c r="I170" s="240"/>
      <c r="J170" s="240"/>
      <c r="K170" s="240"/>
      <c r="L170" s="240"/>
      <c r="M170" s="241"/>
      <c r="N170" s="241"/>
      <c r="O170" s="241"/>
      <c r="P170" s="241"/>
      <c r="Q170" s="241"/>
      <c r="R170" s="242"/>
      <c r="S170" s="243"/>
      <c r="T170" s="240"/>
      <c r="U170" s="240"/>
      <c r="V170" s="240"/>
      <c r="W170" s="240"/>
      <c r="X170" s="240"/>
      <c r="Y170" s="240"/>
      <c r="Z170" s="241"/>
      <c r="AA170" s="241"/>
      <c r="AB170" s="241"/>
      <c r="AC170" s="241"/>
      <c r="AD170" s="241"/>
      <c r="AE170" s="241"/>
      <c r="AF170" s="241"/>
      <c r="AG170" s="241"/>
      <c r="AH170" s="241"/>
      <c r="AI170" s="240"/>
    </row>
    <row r="171" spans="3:35" x14ac:dyDescent="0.2">
      <c r="C171" s="240"/>
      <c r="D171" s="240"/>
      <c r="E171" s="240"/>
      <c r="F171" s="240"/>
      <c r="G171" s="240"/>
      <c r="H171" s="240"/>
      <c r="I171" s="240"/>
      <c r="J171" s="240"/>
      <c r="K171" s="240"/>
      <c r="L171" s="240"/>
      <c r="M171" s="241"/>
      <c r="N171" s="241"/>
      <c r="O171" s="241"/>
      <c r="P171" s="241"/>
      <c r="Q171" s="241"/>
      <c r="R171" s="242"/>
      <c r="S171" s="243"/>
      <c r="T171" s="240"/>
      <c r="U171" s="240"/>
      <c r="V171" s="240"/>
      <c r="W171" s="240"/>
      <c r="X171" s="240"/>
      <c r="Y171" s="240"/>
      <c r="Z171" s="241"/>
      <c r="AA171" s="241"/>
      <c r="AB171" s="241"/>
      <c r="AC171" s="241"/>
      <c r="AD171" s="241"/>
      <c r="AE171" s="241"/>
      <c r="AF171" s="241"/>
      <c r="AG171" s="241"/>
      <c r="AH171" s="241"/>
      <c r="AI171" s="240"/>
    </row>
    <row r="172" spans="3:35" x14ac:dyDescent="0.2">
      <c r="C172" s="240"/>
      <c r="D172" s="240"/>
      <c r="E172" s="240"/>
      <c r="F172" s="240"/>
      <c r="G172" s="240"/>
      <c r="H172" s="240"/>
      <c r="I172" s="240"/>
      <c r="J172" s="240"/>
      <c r="K172" s="240"/>
      <c r="L172" s="240"/>
      <c r="M172" s="241"/>
      <c r="N172" s="241"/>
      <c r="O172" s="241"/>
      <c r="P172" s="241"/>
      <c r="Q172" s="241"/>
      <c r="R172" s="242"/>
      <c r="S172" s="243"/>
      <c r="T172" s="240"/>
      <c r="U172" s="240"/>
      <c r="V172" s="240"/>
      <c r="W172" s="240"/>
      <c r="X172" s="240"/>
      <c r="Y172" s="240"/>
      <c r="Z172" s="241"/>
      <c r="AA172" s="241"/>
      <c r="AB172" s="241"/>
      <c r="AC172" s="241"/>
      <c r="AD172" s="241"/>
      <c r="AE172" s="241"/>
      <c r="AF172" s="241"/>
      <c r="AG172" s="241"/>
      <c r="AH172" s="241"/>
      <c r="AI172" s="240"/>
    </row>
    <row r="173" spans="3:35" x14ac:dyDescent="0.2">
      <c r="C173" s="240"/>
      <c r="D173" s="240"/>
      <c r="E173" s="240"/>
      <c r="F173" s="240"/>
      <c r="G173" s="240"/>
      <c r="H173" s="240"/>
      <c r="I173" s="240"/>
      <c r="J173" s="240"/>
      <c r="K173" s="240"/>
      <c r="L173" s="240"/>
      <c r="M173" s="241"/>
      <c r="N173" s="241"/>
      <c r="O173" s="241"/>
      <c r="P173" s="241"/>
      <c r="Q173" s="241"/>
      <c r="R173" s="242"/>
      <c r="S173" s="243"/>
      <c r="T173" s="240"/>
      <c r="U173" s="240"/>
      <c r="V173" s="240"/>
      <c r="W173" s="240"/>
      <c r="X173" s="240"/>
      <c r="Y173" s="240"/>
      <c r="Z173" s="241"/>
      <c r="AA173" s="241"/>
      <c r="AB173" s="241"/>
      <c r="AC173" s="241"/>
      <c r="AD173" s="241"/>
      <c r="AE173" s="241"/>
      <c r="AF173" s="241"/>
      <c r="AG173" s="241"/>
      <c r="AH173" s="241"/>
      <c r="AI173" s="240"/>
    </row>
    <row r="174" spans="3:35" x14ac:dyDescent="0.2">
      <c r="C174" s="240"/>
      <c r="D174" s="240"/>
      <c r="E174" s="240"/>
      <c r="F174" s="240"/>
      <c r="G174" s="240"/>
      <c r="H174" s="240"/>
      <c r="I174" s="240"/>
      <c r="J174" s="240"/>
      <c r="K174" s="240"/>
      <c r="L174" s="240"/>
      <c r="M174" s="241"/>
      <c r="N174" s="241"/>
      <c r="O174" s="241"/>
      <c r="P174" s="241"/>
      <c r="Q174" s="241"/>
      <c r="R174" s="242"/>
      <c r="S174" s="243"/>
      <c r="T174" s="240"/>
      <c r="U174" s="240"/>
      <c r="V174" s="240"/>
      <c r="W174" s="240"/>
      <c r="X174" s="240"/>
      <c r="Y174" s="240"/>
      <c r="Z174" s="241"/>
      <c r="AA174" s="241"/>
      <c r="AB174" s="241"/>
      <c r="AC174" s="241"/>
      <c r="AD174" s="241"/>
      <c r="AE174" s="241"/>
      <c r="AF174" s="241"/>
      <c r="AG174" s="241"/>
      <c r="AH174" s="241"/>
      <c r="AI174" s="240"/>
    </row>
    <row r="175" spans="3:35" x14ac:dyDescent="0.2">
      <c r="C175" s="240"/>
      <c r="D175" s="240"/>
      <c r="E175" s="240"/>
      <c r="F175" s="240"/>
      <c r="G175" s="240"/>
      <c r="H175" s="240"/>
      <c r="I175" s="240"/>
      <c r="J175" s="240"/>
      <c r="K175" s="240"/>
      <c r="L175" s="240"/>
      <c r="M175" s="241"/>
      <c r="N175" s="241"/>
      <c r="O175" s="241"/>
      <c r="P175" s="241"/>
      <c r="Q175" s="241"/>
      <c r="R175" s="242"/>
      <c r="S175" s="243"/>
      <c r="T175" s="240"/>
      <c r="U175" s="240"/>
      <c r="V175" s="240"/>
      <c r="W175" s="240"/>
      <c r="X175" s="240"/>
      <c r="Y175" s="240"/>
      <c r="Z175" s="241"/>
      <c r="AA175" s="241"/>
      <c r="AB175" s="241"/>
      <c r="AC175" s="241"/>
      <c r="AD175" s="241"/>
      <c r="AE175" s="241"/>
      <c r="AF175" s="241"/>
      <c r="AG175" s="241"/>
      <c r="AH175" s="241"/>
      <c r="AI175" s="240"/>
    </row>
    <row r="176" spans="3:35" x14ac:dyDescent="0.2">
      <c r="C176" s="240"/>
      <c r="D176" s="240"/>
      <c r="E176" s="240"/>
      <c r="F176" s="240"/>
      <c r="G176" s="240"/>
      <c r="H176" s="240"/>
      <c r="I176" s="240"/>
      <c r="J176" s="240"/>
      <c r="K176" s="240"/>
      <c r="L176" s="240"/>
      <c r="M176" s="241"/>
      <c r="N176" s="241"/>
      <c r="O176" s="241"/>
      <c r="P176" s="241"/>
      <c r="Q176" s="241"/>
      <c r="R176" s="242"/>
      <c r="S176" s="243"/>
      <c r="T176" s="240"/>
      <c r="U176" s="240"/>
      <c r="V176" s="240"/>
      <c r="W176" s="240"/>
      <c r="X176" s="240"/>
      <c r="Y176" s="240"/>
      <c r="Z176" s="241"/>
      <c r="AA176" s="241"/>
      <c r="AB176" s="241"/>
      <c r="AC176" s="241"/>
      <c r="AD176" s="241"/>
      <c r="AE176" s="241"/>
      <c r="AF176" s="241"/>
      <c r="AG176" s="241"/>
      <c r="AH176" s="241"/>
      <c r="AI176" s="240"/>
    </row>
    <row r="177" spans="3:35" x14ac:dyDescent="0.2">
      <c r="C177" s="240"/>
      <c r="D177" s="240"/>
      <c r="E177" s="240"/>
      <c r="F177" s="240"/>
      <c r="G177" s="240"/>
      <c r="H177" s="240"/>
      <c r="I177" s="240"/>
      <c r="J177" s="240"/>
      <c r="K177" s="240"/>
      <c r="L177" s="240"/>
      <c r="M177" s="241"/>
      <c r="N177" s="241"/>
      <c r="O177" s="241"/>
      <c r="P177" s="241"/>
      <c r="Q177" s="241"/>
      <c r="R177" s="242"/>
      <c r="S177" s="243"/>
      <c r="T177" s="240"/>
      <c r="U177" s="240"/>
      <c r="V177" s="240"/>
      <c r="W177" s="240"/>
      <c r="X177" s="240"/>
      <c r="Y177" s="240"/>
      <c r="Z177" s="241"/>
      <c r="AA177" s="241"/>
      <c r="AB177" s="241"/>
      <c r="AC177" s="241"/>
      <c r="AD177" s="241"/>
      <c r="AE177" s="241"/>
      <c r="AF177" s="241"/>
      <c r="AG177" s="241"/>
      <c r="AH177" s="241"/>
      <c r="AI177" s="240"/>
    </row>
    <row r="178" spans="3:35" x14ac:dyDescent="0.2">
      <c r="C178" s="240"/>
      <c r="D178" s="240"/>
      <c r="E178" s="240"/>
      <c r="F178" s="240"/>
      <c r="G178" s="240"/>
      <c r="H178" s="240"/>
      <c r="I178" s="240"/>
      <c r="J178" s="240"/>
      <c r="K178" s="240"/>
      <c r="L178" s="240"/>
      <c r="M178" s="241"/>
      <c r="N178" s="241"/>
      <c r="O178" s="241"/>
      <c r="P178" s="241"/>
      <c r="Q178" s="241"/>
      <c r="R178" s="242"/>
      <c r="S178" s="243"/>
      <c r="T178" s="240"/>
      <c r="U178" s="240"/>
      <c r="V178" s="240"/>
      <c r="W178" s="240"/>
      <c r="X178" s="240"/>
      <c r="Y178" s="240"/>
      <c r="Z178" s="241"/>
      <c r="AA178" s="241"/>
      <c r="AB178" s="241"/>
      <c r="AC178" s="241"/>
      <c r="AD178" s="241"/>
      <c r="AE178" s="241"/>
      <c r="AF178" s="241"/>
      <c r="AG178" s="241"/>
      <c r="AH178" s="241"/>
      <c r="AI178" s="240"/>
    </row>
    <row r="179" spans="3:35" x14ac:dyDescent="0.2">
      <c r="C179" s="240"/>
      <c r="D179" s="240"/>
      <c r="E179" s="240"/>
      <c r="F179" s="240"/>
      <c r="G179" s="240"/>
      <c r="H179" s="240"/>
      <c r="I179" s="240"/>
      <c r="J179" s="240"/>
      <c r="K179" s="240"/>
      <c r="L179" s="240"/>
      <c r="M179" s="241"/>
      <c r="N179" s="241"/>
      <c r="O179" s="241"/>
      <c r="P179" s="241"/>
      <c r="Q179" s="241"/>
      <c r="R179" s="242"/>
      <c r="S179" s="243"/>
      <c r="T179" s="240"/>
      <c r="U179" s="240"/>
      <c r="V179" s="240"/>
      <c r="W179" s="240"/>
      <c r="X179" s="240"/>
      <c r="Y179" s="240"/>
      <c r="Z179" s="241"/>
      <c r="AA179" s="241"/>
      <c r="AB179" s="241"/>
      <c r="AC179" s="241"/>
      <c r="AD179" s="241"/>
      <c r="AE179" s="241"/>
      <c r="AF179" s="241"/>
      <c r="AG179" s="241"/>
      <c r="AH179" s="241"/>
      <c r="AI179" s="240"/>
    </row>
    <row r="180" spans="3:35" x14ac:dyDescent="0.2">
      <c r="C180" s="240"/>
      <c r="D180" s="240"/>
      <c r="E180" s="240"/>
      <c r="F180" s="240"/>
      <c r="G180" s="240"/>
      <c r="H180" s="240"/>
      <c r="I180" s="240"/>
      <c r="J180" s="240"/>
      <c r="K180" s="240"/>
      <c r="L180" s="240"/>
      <c r="M180" s="241"/>
      <c r="N180" s="241"/>
      <c r="O180" s="241"/>
      <c r="P180" s="241"/>
      <c r="Q180" s="241"/>
      <c r="R180" s="242"/>
      <c r="S180" s="243"/>
      <c r="T180" s="240"/>
      <c r="U180" s="240"/>
      <c r="V180" s="240"/>
      <c r="W180" s="240"/>
      <c r="X180" s="240"/>
      <c r="Y180" s="240"/>
      <c r="Z180" s="241"/>
      <c r="AA180" s="241"/>
      <c r="AB180" s="241"/>
      <c r="AC180" s="241"/>
      <c r="AD180" s="241"/>
      <c r="AE180" s="241"/>
      <c r="AF180" s="241"/>
      <c r="AG180" s="241"/>
      <c r="AH180" s="241"/>
      <c r="AI180" s="240"/>
    </row>
    <row r="181" spans="3:35" x14ac:dyDescent="0.2">
      <c r="C181" s="240"/>
      <c r="D181" s="240"/>
      <c r="E181" s="240"/>
      <c r="F181" s="240"/>
      <c r="G181" s="240"/>
      <c r="H181" s="240"/>
      <c r="I181" s="240"/>
      <c r="J181" s="240"/>
      <c r="K181" s="240"/>
      <c r="L181" s="240"/>
      <c r="M181" s="241"/>
      <c r="N181" s="241"/>
      <c r="O181" s="241"/>
      <c r="P181" s="241"/>
      <c r="Q181" s="241"/>
      <c r="R181" s="242"/>
      <c r="S181" s="243"/>
      <c r="T181" s="240"/>
      <c r="U181" s="240"/>
      <c r="V181" s="240"/>
      <c r="W181" s="240"/>
      <c r="X181" s="240"/>
      <c r="Y181" s="240"/>
      <c r="Z181" s="241"/>
      <c r="AA181" s="241"/>
      <c r="AB181" s="241"/>
      <c r="AC181" s="241"/>
      <c r="AD181" s="241"/>
      <c r="AE181" s="241"/>
      <c r="AF181" s="241"/>
      <c r="AG181" s="241"/>
      <c r="AH181" s="241"/>
      <c r="AI181" s="240"/>
    </row>
    <row r="182" spans="3:35" x14ac:dyDescent="0.2">
      <c r="C182" s="240"/>
      <c r="D182" s="240"/>
      <c r="E182" s="240"/>
      <c r="F182" s="240"/>
      <c r="G182" s="240"/>
      <c r="H182" s="240"/>
      <c r="I182" s="240"/>
      <c r="J182" s="240"/>
      <c r="K182" s="240"/>
      <c r="L182" s="240"/>
      <c r="M182" s="241"/>
      <c r="N182" s="241"/>
      <c r="O182" s="241"/>
      <c r="P182" s="241"/>
      <c r="Q182" s="241"/>
      <c r="R182" s="242"/>
      <c r="S182" s="243"/>
      <c r="T182" s="240"/>
      <c r="U182" s="240"/>
      <c r="V182" s="240"/>
      <c r="W182" s="240"/>
      <c r="X182" s="240"/>
      <c r="Y182" s="240"/>
      <c r="Z182" s="241"/>
      <c r="AA182" s="241"/>
      <c r="AB182" s="241"/>
      <c r="AC182" s="241"/>
      <c r="AD182" s="241"/>
      <c r="AE182" s="241"/>
      <c r="AF182" s="241"/>
      <c r="AG182" s="241"/>
      <c r="AH182" s="241"/>
      <c r="AI182" s="240"/>
    </row>
    <row r="183" spans="3:35" x14ac:dyDescent="0.2">
      <c r="C183" s="240"/>
      <c r="D183" s="240"/>
      <c r="E183" s="240"/>
      <c r="F183" s="240"/>
      <c r="G183" s="240"/>
      <c r="H183" s="240"/>
      <c r="I183" s="240"/>
      <c r="J183" s="240"/>
      <c r="K183" s="240"/>
      <c r="L183" s="240"/>
      <c r="M183" s="241"/>
      <c r="N183" s="241"/>
      <c r="O183" s="241"/>
      <c r="P183" s="241"/>
      <c r="Q183" s="241"/>
      <c r="R183" s="242"/>
      <c r="S183" s="243"/>
      <c r="T183" s="240"/>
      <c r="U183" s="240"/>
      <c r="V183" s="240"/>
      <c r="W183" s="240"/>
      <c r="X183" s="240"/>
      <c r="Y183" s="240"/>
      <c r="Z183" s="241"/>
      <c r="AA183" s="241"/>
      <c r="AB183" s="241"/>
      <c r="AC183" s="241"/>
      <c r="AD183" s="241"/>
      <c r="AE183" s="241"/>
      <c r="AF183" s="241"/>
      <c r="AG183" s="241"/>
      <c r="AH183" s="241"/>
      <c r="AI183" s="240"/>
    </row>
    <row r="184" spans="3:35" x14ac:dyDescent="0.2">
      <c r="C184" s="240"/>
      <c r="D184" s="240"/>
      <c r="E184" s="240"/>
      <c r="F184" s="240"/>
      <c r="G184" s="240"/>
      <c r="H184" s="240"/>
      <c r="I184" s="240"/>
      <c r="J184" s="240"/>
      <c r="K184" s="240"/>
      <c r="L184" s="240"/>
      <c r="M184" s="241"/>
      <c r="N184" s="241"/>
      <c r="O184" s="241"/>
      <c r="P184" s="241"/>
      <c r="Q184" s="241"/>
      <c r="R184" s="242"/>
      <c r="S184" s="243"/>
      <c r="T184" s="240"/>
      <c r="U184" s="240"/>
      <c r="V184" s="240"/>
      <c r="W184" s="240"/>
      <c r="X184" s="240"/>
      <c r="Y184" s="240"/>
      <c r="Z184" s="241"/>
      <c r="AA184" s="241"/>
      <c r="AB184" s="241"/>
      <c r="AC184" s="241"/>
      <c r="AD184" s="241"/>
      <c r="AE184" s="241"/>
      <c r="AF184" s="241"/>
      <c r="AG184" s="241"/>
      <c r="AH184" s="241"/>
      <c r="AI184" s="240"/>
    </row>
    <row r="185" spans="3:35" x14ac:dyDescent="0.2">
      <c r="C185" s="240"/>
      <c r="D185" s="240"/>
      <c r="E185" s="240"/>
      <c r="F185" s="240"/>
      <c r="G185" s="240"/>
      <c r="H185" s="240"/>
      <c r="I185" s="240"/>
      <c r="J185" s="240"/>
      <c r="K185" s="240"/>
      <c r="L185" s="240"/>
      <c r="M185" s="241"/>
      <c r="N185" s="241"/>
      <c r="O185" s="241"/>
      <c r="P185" s="241"/>
      <c r="Q185" s="241"/>
      <c r="R185" s="242"/>
      <c r="S185" s="243"/>
      <c r="T185" s="240"/>
      <c r="U185" s="240"/>
      <c r="V185" s="240"/>
      <c r="W185" s="240"/>
      <c r="X185" s="240"/>
      <c r="Y185" s="240"/>
      <c r="Z185" s="241"/>
      <c r="AA185" s="241"/>
      <c r="AB185" s="241"/>
      <c r="AC185" s="241"/>
      <c r="AD185" s="241"/>
      <c r="AE185" s="241"/>
      <c r="AF185" s="241"/>
      <c r="AG185" s="241"/>
      <c r="AH185" s="241"/>
      <c r="AI185" s="240"/>
    </row>
    <row r="186" spans="3:35" x14ac:dyDescent="0.2">
      <c r="C186" s="240"/>
      <c r="D186" s="240"/>
      <c r="E186" s="240"/>
      <c r="F186" s="240"/>
      <c r="G186" s="240"/>
      <c r="H186" s="240"/>
      <c r="I186" s="240"/>
      <c r="J186" s="240"/>
      <c r="K186" s="240"/>
      <c r="L186" s="240"/>
      <c r="M186" s="241"/>
      <c r="N186" s="241"/>
      <c r="O186" s="241"/>
      <c r="P186" s="241"/>
      <c r="Q186" s="241"/>
      <c r="R186" s="242"/>
      <c r="S186" s="243"/>
      <c r="T186" s="240"/>
      <c r="U186" s="240"/>
      <c r="V186" s="240"/>
      <c r="W186" s="240"/>
      <c r="X186" s="240"/>
      <c r="Y186" s="240"/>
      <c r="Z186" s="241"/>
      <c r="AA186" s="241"/>
      <c r="AB186" s="241"/>
      <c r="AC186" s="241"/>
      <c r="AD186" s="241"/>
      <c r="AE186" s="241"/>
      <c r="AF186" s="241"/>
      <c r="AG186" s="241"/>
      <c r="AH186" s="241"/>
      <c r="AI186" s="240"/>
    </row>
    <row r="187" spans="3:35" x14ac:dyDescent="0.2">
      <c r="C187" s="240"/>
      <c r="D187" s="240"/>
      <c r="E187" s="240"/>
      <c r="F187" s="240"/>
      <c r="G187" s="240"/>
      <c r="H187" s="240"/>
      <c r="I187" s="240"/>
      <c r="J187" s="240"/>
      <c r="K187" s="240"/>
      <c r="L187" s="240"/>
      <c r="M187" s="241"/>
      <c r="N187" s="241"/>
      <c r="O187" s="241"/>
      <c r="P187" s="241"/>
      <c r="Q187" s="241"/>
      <c r="R187" s="242"/>
      <c r="S187" s="243"/>
      <c r="T187" s="240"/>
      <c r="U187" s="240"/>
      <c r="V187" s="240"/>
      <c r="W187" s="240"/>
      <c r="X187" s="240"/>
      <c r="Y187" s="240"/>
      <c r="Z187" s="241"/>
      <c r="AA187" s="241"/>
      <c r="AB187" s="241"/>
      <c r="AC187" s="241"/>
      <c r="AD187" s="241"/>
      <c r="AE187" s="241"/>
      <c r="AF187" s="241"/>
      <c r="AG187" s="241"/>
      <c r="AH187" s="241"/>
      <c r="AI187" s="240"/>
    </row>
    <row r="188" spans="3:35" x14ac:dyDescent="0.2">
      <c r="C188" s="240"/>
      <c r="D188" s="240"/>
      <c r="E188" s="240"/>
      <c r="F188" s="240"/>
      <c r="G188" s="240"/>
      <c r="H188" s="240"/>
      <c r="I188" s="240"/>
      <c r="J188" s="240"/>
      <c r="K188" s="240"/>
      <c r="L188" s="240"/>
      <c r="M188" s="241"/>
      <c r="N188" s="241"/>
      <c r="O188" s="241"/>
      <c r="P188" s="241"/>
      <c r="Q188" s="241"/>
      <c r="R188" s="242"/>
      <c r="S188" s="243"/>
      <c r="T188" s="240"/>
      <c r="U188" s="240"/>
      <c r="V188" s="240"/>
      <c r="W188" s="240"/>
      <c r="X188" s="240"/>
      <c r="Y188" s="240"/>
      <c r="Z188" s="241"/>
      <c r="AA188" s="241"/>
      <c r="AB188" s="241"/>
      <c r="AC188" s="241"/>
      <c r="AD188" s="241"/>
      <c r="AE188" s="241"/>
      <c r="AF188" s="241"/>
      <c r="AG188" s="241"/>
      <c r="AH188" s="241"/>
      <c r="AI188" s="240"/>
    </row>
    <row r="189" spans="3:35" x14ac:dyDescent="0.2">
      <c r="C189" s="240"/>
      <c r="D189" s="240"/>
      <c r="E189" s="240"/>
      <c r="F189" s="240"/>
      <c r="G189" s="240"/>
      <c r="H189" s="240"/>
      <c r="I189" s="240"/>
      <c r="J189" s="240"/>
      <c r="K189" s="240"/>
      <c r="L189" s="240"/>
      <c r="M189" s="241"/>
      <c r="N189" s="241"/>
      <c r="O189" s="241"/>
      <c r="P189" s="241"/>
      <c r="Q189" s="241"/>
      <c r="R189" s="242"/>
      <c r="S189" s="243"/>
      <c r="T189" s="240"/>
      <c r="U189" s="240"/>
      <c r="V189" s="240"/>
      <c r="W189" s="240"/>
      <c r="X189" s="240"/>
      <c r="Y189" s="240"/>
      <c r="Z189" s="241"/>
      <c r="AA189" s="241"/>
      <c r="AB189" s="241"/>
      <c r="AC189" s="241"/>
      <c r="AD189" s="241"/>
      <c r="AE189" s="241"/>
      <c r="AF189" s="241"/>
      <c r="AG189" s="241"/>
      <c r="AH189" s="241"/>
      <c r="AI189" s="240"/>
    </row>
    <row r="190" spans="3:35" x14ac:dyDescent="0.2">
      <c r="C190" s="240"/>
      <c r="D190" s="240"/>
      <c r="E190" s="240"/>
      <c r="F190" s="240"/>
      <c r="G190" s="240"/>
      <c r="H190" s="240"/>
      <c r="I190" s="240"/>
      <c r="J190" s="240"/>
      <c r="K190" s="240"/>
      <c r="L190" s="240"/>
      <c r="M190" s="241"/>
      <c r="N190" s="241"/>
      <c r="O190" s="241"/>
      <c r="P190" s="241"/>
      <c r="Q190" s="241"/>
      <c r="R190" s="242"/>
      <c r="S190" s="243"/>
      <c r="T190" s="240"/>
      <c r="U190" s="240"/>
      <c r="V190" s="240"/>
      <c r="W190" s="240"/>
      <c r="X190" s="240"/>
      <c r="Y190" s="240"/>
      <c r="Z190" s="241"/>
      <c r="AA190" s="241"/>
      <c r="AB190" s="241"/>
      <c r="AC190" s="241"/>
      <c r="AD190" s="241"/>
      <c r="AE190" s="241"/>
      <c r="AF190" s="241"/>
      <c r="AG190" s="241"/>
      <c r="AH190" s="241"/>
      <c r="AI190" s="240"/>
    </row>
    <row r="191" spans="3:35" x14ac:dyDescent="0.2">
      <c r="C191" s="240"/>
      <c r="D191" s="240"/>
      <c r="E191" s="240"/>
      <c r="F191" s="240"/>
      <c r="G191" s="240"/>
      <c r="H191" s="240"/>
      <c r="I191" s="240"/>
      <c r="J191" s="240"/>
      <c r="K191" s="240"/>
      <c r="L191" s="240"/>
      <c r="M191" s="241"/>
      <c r="N191" s="241"/>
      <c r="O191" s="241"/>
      <c r="P191" s="241"/>
      <c r="Q191" s="241"/>
      <c r="R191" s="242"/>
      <c r="S191" s="243"/>
      <c r="T191" s="240"/>
      <c r="U191" s="240"/>
      <c r="V191" s="240"/>
      <c r="W191" s="240"/>
      <c r="X191" s="240"/>
      <c r="Y191" s="240"/>
      <c r="Z191" s="241"/>
      <c r="AA191" s="241"/>
      <c r="AB191" s="241"/>
      <c r="AC191" s="241"/>
      <c r="AD191" s="241"/>
      <c r="AE191" s="241"/>
      <c r="AF191" s="241"/>
      <c r="AG191" s="241"/>
      <c r="AH191" s="241"/>
      <c r="AI191" s="240"/>
    </row>
    <row r="192" spans="3:35" x14ac:dyDescent="0.2">
      <c r="C192" s="240"/>
      <c r="D192" s="240"/>
      <c r="E192" s="240"/>
      <c r="F192" s="240"/>
      <c r="G192" s="240"/>
      <c r="H192" s="240"/>
      <c r="I192" s="240"/>
      <c r="J192" s="240"/>
      <c r="K192" s="240"/>
      <c r="L192" s="240"/>
      <c r="M192" s="241"/>
      <c r="N192" s="241"/>
      <c r="O192" s="241"/>
      <c r="P192" s="241"/>
      <c r="Q192" s="241"/>
      <c r="R192" s="242"/>
      <c r="S192" s="243"/>
      <c r="T192" s="240"/>
      <c r="U192" s="240"/>
      <c r="V192" s="240"/>
      <c r="W192" s="240"/>
      <c r="X192" s="240"/>
      <c r="Y192" s="240"/>
      <c r="Z192" s="241"/>
      <c r="AA192" s="241"/>
      <c r="AB192" s="241"/>
      <c r="AC192" s="241"/>
      <c r="AD192" s="241"/>
      <c r="AE192" s="241"/>
      <c r="AF192" s="241"/>
      <c r="AG192" s="241"/>
      <c r="AH192" s="241"/>
      <c r="AI192" s="240"/>
    </row>
    <row r="193" spans="3:35" x14ac:dyDescent="0.2">
      <c r="C193" s="240"/>
      <c r="D193" s="240"/>
      <c r="E193" s="240"/>
      <c r="F193" s="240"/>
      <c r="G193" s="240"/>
      <c r="H193" s="240"/>
      <c r="I193" s="240"/>
      <c r="J193" s="240"/>
      <c r="K193" s="240"/>
      <c r="L193" s="240"/>
      <c r="M193" s="241"/>
      <c r="N193" s="241"/>
      <c r="O193" s="241"/>
      <c r="P193" s="241"/>
      <c r="Q193" s="241"/>
      <c r="R193" s="242"/>
      <c r="S193" s="243"/>
      <c r="T193" s="240"/>
      <c r="U193" s="240"/>
      <c r="V193" s="240"/>
      <c r="W193" s="240"/>
      <c r="X193" s="240"/>
      <c r="Y193" s="240"/>
      <c r="Z193" s="241"/>
      <c r="AA193" s="241"/>
      <c r="AB193" s="241"/>
      <c r="AC193" s="241"/>
      <c r="AD193" s="241"/>
      <c r="AE193" s="241"/>
      <c r="AF193" s="241"/>
      <c r="AG193" s="241"/>
      <c r="AH193" s="241"/>
      <c r="AI193" s="240"/>
    </row>
    <row r="194" spans="3:35" x14ac:dyDescent="0.2">
      <c r="C194" s="240"/>
      <c r="D194" s="240"/>
      <c r="E194" s="240"/>
      <c r="F194" s="240"/>
      <c r="G194" s="240"/>
      <c r="H194" s="240"/>
      <c r="I194" s="240"/>
      <c r="J194" s="240"/>
      <c r="K194" s="240"/>
      <c r="L194" s="240"/>
      <c r="M194" s="241"/>
      <c r="N194" s="241"/>
      <c r="O194" s="241"/>
      <c r="P194" s="241"/>
      <c r="Q194" s="241"/>
      <c r="R194" s="242"/>
      <c r="S194" s="243"/>
      <c r="T194" s="240"/>
      <c r="U194" s="240"/>
      <c r="V194" s="240"/>
      <c r="W194" s="240"/>
      <c r="X194" s="240"/>
      <c r="Y194" s="240"/>
      <c r="Z194" s="241"/>
      <c r="AA194" s="241"/>
      <c r="AB194" s="241"/>
      <c r="AC194" s="241"/>
      <c r="AD194" s="241"/>
      <c r="AE194" s="241"/>
      <c r="AF194" s="241"/>
      <c r="AG194" s="241"/>
      <c r="AH194" s="241"/>
      <c r="AI194" s="240"/>
    </row>
    <row r="195" spans="3:35" x14ac:dyDescent="0.2">
      <c r="C195" s="240"/>
      <c r="D195" s="240"/>
      <c r="E195" s="240"/>
      <c r="F195" s="240"/>
      <c r="G195" s="240"/>
      <c r="H195" s="240"/>
      <c r="I195" s="240"/>
      <c r="J195" s="240"/>
      <c r="K195" s="240"/>
      <c r="L195" s="240"/>
      <c r="M195" s="241"/>
      <c r="N195" s="241"/>
      <c r="O195" s="241"/>
      <c r="P195" s="241"/>
      <c r="Q195" s="241"/>
      <c r="R195" s="242"/>
      <c r="S195" s="243"/>
      <c r="T195" s="240"/>
      <c r="U195" s="240"/>
      <c r="V195" s="240"/>
      <c r="W195" s="240"/>
      <c r="X195" s="240"/>
      <c r="Y195" s="240"/>
      <c r="Z195" s="241"/>
      <c r="AA195" s="241"/>
      <c r="AB195" s="241"/>
      <c r="AC195" s="241"/>
      <c r="AD195" s="241"/>
      <c r="AE195" s="241"/>
      <c r="AF195" s="241"/>
      <c r="AG195" s="241"/>
      <c r="AH195" s="241"/>
      <c r="AI195" s="240"/>
    </row>
    <row r="196" spans="3:35" x14ac:dyDescent="0.2">
      <c r="C196" s="240"/>
      <c r="D196" s="240"/>
      <c r="E196" s="240"/>
      <c r="F196" s="240"/>
      <c r="G196" s="240"/>
      <c r="H196" s="240"/>
      <c r="I196" s="240"/>
      <c r="J196" s="240"/>
      <c r="K196" s="240"/>
      <c r="L196" s="240"/>
      <c r="M196" s="241"/>
      <c r="N196" s="241"/>
      <c r="O196" s="241"/>
      <c r="P196" s="241"/>
      <c r="Q196" s="241"/>
      <c r="R196" s="242"/>
      <c r="S196" s="243"/>
      <c r="T196" s="240"/>
      <c r="U196" s="240"/>
      <c r="V196" s="240"/>
      <c r="W196" s="240"/>
      <c r="X196" s="240"/>
      <c r="Y196" s="240"/>
      <c r="Z196" s="241"/>
      <c r="AA196" s="241"/>
      <c r="AB196" s="241"/>
      <c r="AC196" s="241"/>
      <c r="AD196" s="241"/>
      <c r="AE196" s="241"/>
      <c r="AF196" s="241"/>
      <c r="AG196" s="241"/>
      <c r="AH196" s="241"/>
      <c r="AI196" s="240"/>
    </row>
    <row r="197" spans="3:35" x14ac:dyDescent="0.2">
      <c r="C197" s="240"/>
      <c r="D197" s="240"/>
      <c r="E197" s="240"/>
      <c r="F197" s="240"/>
      <c r="G197" s="240"/>
      <c r="H197" s="240"/>
      <c r="I197" s="240"/>
      <c r="J197" s="240"/>
      <c r="K197" s="240"/>
      <c r="L197" s="240"/>
      <c r="M197" s="241"/>
      <c r="N197" s="241"/>
      <c r="O197" s="241"/>
      <c r="P197" s="241"/>
      <c r="Q197" s="241"/>
      <c r="R197" s="242"/>
      <c r="S197" s="243"/>
      <c r="T197" s="240"/>
      <c r="U197" s="240"/>
      <c r="V197" s="240"/>
      <c r="W197" s="240"/>
      <c r="X197" s="240"/>
      <c r="Y197" s="240"/>
      <c r="Z197" s="241"/>
      <c r="AA197" s="241"/>
      <c r="AB197" s="241"/>
      <c r="AC197" s="241"/>
      <c r="AD197" s="241"/>
      <c r="AE197" s="241"/>
      <c r="AF197" s="241"/>
      <c r="AG197" s="241"/>
      <c r="AH197" s="241"/>
      <c r="AI197" s="240"/>
    </row>
    <row r="198" spans="3:35" x14ac:dyDescent="0.2">
      <c r="C198" s="240"/>
      <c r="D198" s="240"/>
      <c r="E198" s="240"/>
      <c r="F198" s="240"/>
      <c r="G198" s="240"/>
      <c r="H198" s="240"/>
      <c r="I198" s="240"/>
      <c r="J198" s="240"/>
      <c r="K198" s="240"/>
      <c r="L198" s="240"/>
      <c r="M198" s="241"/>
      <c r="N198" s="241"/>
      <c r="O198" s="241"/>
      <c r="P198" s="241"/>
      <c r="Q198" s="241"/>
      <c r="R198" s="242"/>
      <c r="S198" s="243"/>
      <c r="T198" s="240"/>
      <c r="U198" s="240"/>
      <c r="V198" s="240"/>
      <c r="W198" s="240"/>
      <c r="X198" s="240"/>
      <c r="Y198" s="240"/>
      <c r="Z198" s="241"/>
      <c r="AA198" s="241"/>
      <c r="AB198" s="241"/>
      <c r="AC198" s="241"/>
      <c r="AD198" s="241"/>
      <c r="AE198" s="241"/>
      <c r="AF198" s="241"/>
      <c r="AG198" s="241"/>
      <c r="AH198" s="241"/>
      <c r="AI198" s="240"/>
    </row>
    <row r="199" spans="3:35" x14ac:dyDescent="0.2">
      <c r="C199" s="240"/>
      <c r="D199" s="240"/>
      <c r="E199" s="240"/>
      <c r="F199" s="240"/>
      <c r="G199" s="240"/>
      <c r="H199" s="240"/>
      <c r="I199" s="240"/>
      <c r="J199" s="240"/>
      <c r="K199" s="240"/>
      <c r="L199" s="240"/>
      <c r="M199" s="241"/>
      <c r="N199" s="241"/>
      <c r="O199" s="241"/>
      <c r="P199" s="241"/>
      <c r="Q199" s="241"/>
      <c r="R199" s="242"/>
      <c r="S199" s="243"/>
      <c r="T199" s="240"/>
      <c r="U199" s="240"/>
      <c r="V199" s="240"/>
      <c r="W199" s="240"/>
      <c r="X199" s="240"/>
      <c r="Y199" s="240"/>
      <c r="Z199" s="241"/>
      <c r="AA199" s="241"/>
      <c r="AB199" s="241"/>
      <c r="AC199" s="241"/>
      <c r="AD199" s="241"/>
      <c r="AE199" s="241"/>
      <c r="AF199" s="241"/>
      <c r="AG199" s="241"/>
      <c r="AH199" s="241"/>
      <c r="AI199" s="240"/>
    </row>
    <row r="200" spans="3:35" x14ac:dyDescent="0.2">
      <c r="C200" s="240"/>
      <c r="D200" s="240"/>
      <c r="E200" s="240"/>
      <c r="F200" s="240"/>
      <c r="G200" s="240"/>
      <c r="H200" s="240"/>
      <c r="I200" s="240"/>
      <c r="J200" s="240"/>
      <c r="K200" s="240"/>
      <c r="L200" s="240"/>
      <c r="M200" s="241"/>
      <c r="N200" s="241"/>
      <c r="O200" s="241"/>
      <c r="P200" s="241"/>
      <c r="Q200" s="241"/>
      <c r="R200" s="242"/>
      <c r="S200" s="243"/>
      <c r="T200" s="240"/>
      <c r="U200" s="240"/>
      <c r="V200" s="240"/>
      <c r="W200" s="240"/>
      <c r="X200" s="240"/>
      <c r="Y200" s="240"/>
      <c r="Z200" s="241"/>
      <c r="AA200" s="241"/>
      <c r="AB200" s="241"/>
      <c r="AC200" s="241"/>
      <c r="AD200" s="241"/>
      <c r="AE200" s="241"/>
      <c r="AF200" s="241"/>
      <c r="AG200" s="241"/>
      <c r="AH200" s="241"/>
      <c r="AI200" s="240"/>
    </row>
    <row r="201" spans="3:35" x14ac:dyDescent="0.2">
      <c r="C201" s="240"/>
      <c r="D201" s="240"/>
      <c r="E201" s="240"/>
      <c r="F201" s="240"/>
      <c r="G201" s="240"/>
      <c r="H201" s="240"/>
      <c r="I201" s="240"/>
      <c r="J201" s="240"/>
      <c r="K201" s="240"/>
      <c r="L201" s="240"/>
      <c r="M201" s="241"/>
      <c r="N201" s="241"/>
      <c r="O201" s="241"/>
      <c r="P201" s="241"/>
      <c r="Q201" s="241"/>
      <c r="R201" s="242"/>
      <c r="S201" s="243"/>
      <c r="T201" s="240"/>
      <c r="U201" s="240"/>
      <c r="V201" s="240"/>
      <c r="W201" s="240"/>
      <c r="X201" s="240"/>
      <c r="Y201" s="240"/>
      <c r="Z201" s="241"/>
      <c r="AA201" s="241"/>
      <c r="AB201" s="241"/>
      <c r="AC201" s="241"/>
      <c r="AD201" s="241"/>
      <c r="AE201" s="241"/>
      <c r="AF201" s="241"/>
      <c r="AG201" s="241"/>
      <c r="AH201" s="241"/>
      <c r="AI201" s="240"/>
    </row>
    <row r="202" spans="3:35" x14ac:dyDescent="0.2">
      <c r="C202" s="240"/>
      <c r="D202" s="240"/>
      <c r="E202" s="240"/>
      <c r="F202" s="240"/>
      <c r="G202" s="240"/>
      <c r="H202" s="240"/>
      <c r="I202" s="240"/>
      <c r="J202" s="240"/>
      <c r="K202" s="240"/>
      <c r="L202" s="240"/>
      <c r="M202" s="241"/>
      <c r="N202" s="241"/>
      <c r="O202" s="241"/>
      <c r="P202" s="241"/>
      <c r="Q202" s="241"/>
      <c r="R202" s="242"/>
      <c r="S202" s="243"/>
      <c r="T202" s="240"/>
      <c r="U202" s="240"/>
      <c r="V202" s="240"/>
      <c r="W202" s="240"/>
      <c r="X202" s="240"/>
      <c r="Y202" s="240"/>
      <c r="Z202" s="241"/>
      <c r="AA202" s="241"/>
      <c r="AB202" s="241"/>
      <c r="AC202" s="241"/>
      <c r="AD202" s="241"/>
      <c r="AE202" s="241"/>
      <c r="AF202" s="241"/>
      <c r="AG202" s="241"/>
      <c r="AH202" s="241"/>
      <c r="AI202" s="240"/>
    </row>
    <row r="203" spans="3:35" x14ac:dyDescent="0.2">
      <c r="C203" s="240"/>
      <c r="D203" s="240"/>
      <c r="E203" s="240"/>
      <c r="F203" s="240"/>
      <c r="G203" s="240"/>
      <c r="H203" s="240"/>
      <c r="I203" s="240"/>
      <c r="J203" s="240"/>
      <c r="K203" s="240"/>
      <c r="L203" s="240"/>
      <c r="M203" s="241"/>
      <c r="N203" s="241"/>
      <c r="O203" s="241"/>
      <c r="P203" s="241"/>
      <c r="Q203" s="241"/>
      <c r="R203" s="242"/>
      <c r="S203" s="243"/>
      <c r="T203" s="240"/>
      <c r="U203" s="240"/>
      <c r="V203" s="240"/>
      <c r="W203" s="240"/>
      <c r="X203" s="240"/>
      <c r="Y203" s="240"/>
      <c r="Z203" s="241"/>
      <c r="AA203" s="241"/>
      <c r="AB203" s="241"/>
      <c r="AC203" s="241"/>
      <c r="AD203" s="241"/>
      <c r="AE203" s="241"/>
      <c r="AF203" s="241"/>
      <c r="AG203" s="241"/>
      <c r="AH203" s="241"/>
      <c r="AI203" s="240"/>
    </row>
    <row r="204" spans="3:35" x14ac:dyDescent="0.2">
      <c r="C204" s="240"/>
      <c r="D204" s="240"/>
      <c r="E204" s="240"/>
      <c r="F204" s="240"/>
      <c r="G204" s="240"/>
      <c r="H204" s="240"/>
      <c r="I204" s="240"/>
      <c r="J204" s="240"/>
      <c r="K204" s="240"/>
      <c r="L204" s="240"/>
      <c r="M204" s="241"/>
      <c r="N204" s="241"/>
      <c r="O204" s="241"/>
      <c r="P204" s="241"/>
      <c r="Q204" s="241"/>
      <c r="R204" s="242"/>
      <c r="S204" s="243"/>
      <c r="T204" s="240"/>
      <c r="U204" s="240"/>
      <c r="V204" s="240"/>
      <c r="W204" s="240"/>
      <c r="X204" s="240"/>
      <c r="Y204" s="240"/>
      <c r="Z204" s="241"/>
      <c r="AA204" s="241"/>
      <c r="AB204" s="241"/>
      <c r="AC204" s="241"/>
      <c r="AD204" s="241"/>
      <c r="AE204" s="241"/>
      <c r="AF204" s="241"/>
      <c r="AG204" s="241"/>
      <c r="AH204" s="241"/>
      <c r="AI204" s="240"/>
    </row>
    <row r="205" spans="3:35" x14ac:dyDescent="0.2">
      <c r="C205" s="240"/>
      <c r="D205" s="240"/>
      <c r="E205" s="240"/>
      <c r="F205" s="240"/>
      <c r="G205" s="240"/>
      <c r="H205" s="240"/>
      <c r="I205" s="240"/>
      <c r="J205" s="240"/>
      <c r="K205" s="240"/>
      <c r="L205" s="240"/>
      <c r="M205" s="241"/>
      <c r="N205" s="241"/>
      <c r="O205" s="241"/>
      <c r="P205" s="241"/>
      <c r="Q205" s="241"/>
      <c r="R205" s="242"/>
      <c r="S205" s="243"/>
      <c r="T205" s="240"/>
      <c r="U205" s="240"/>
      <c r="V205" s="240"/>
      <c r="W205" s="240"/>
      <c r="X205" s="240"/>
      <c r="Y205" s="240"/>
      <c r="Z205" s="241"/>
      <c r="AA205" s="241"/>
      <c r="AB205" s="241"/>
      <c r="AC205" s="241"/>
      <c r="AD205" s="241"/>
      <c r="AE205" s="241"/>
      <c r="AF205" s="241"/>
      <c r="AG205" s="241"/>
      <c r="AH205" s="241"/>
      <c r="AI205" s="240"/>
    </row>
    <row r="206" spans="3:35" x14ac:dyDescent="0.2">
      <c r="C206" s="240"/>
      <c r="D206" s="240"/>
      <c r="E206" s="240"/>
      <c r="F206" s="240"/>
      <c r="G206" s="240"/>
      <c r="H206" s="240"/>
      <c r="I206" s="240"/>
      <c r="J206" s="240"/>
      <c r="K206" s="240"/>
      <c r="L206" s="240"/>
      <c r="M206" s="241"/>
      <c r="N206" s="241"/>
      <c r="O206" s="241"/>
      <c r="P206" s="241"/>
      <c r="Q206" s="241"/>
      <c r="R206" s="242"/>
      <c r="S206" s="243"/>
      <c r="T206" s="240"/>
      <c r="U206" s="240"/>
      <c r="V206" s="240"/>
      <c r="W206" s="240"/>
      <c r="X206" s="240"/>
      <c r="Y206" s="240"/>
      <c r="Z206" s="241"/>
      <c r="AA206" s="241"/>
      <c r="AB206" s="241"/>
      <c r="AC206" s="241"/>
      <c r="AD206" s="241"/>
      <c r="AE206" s="241"/>
      <c r="AF206" s="241"/>
      <c r="AG206" s="241"/>
      <c r="AH206" s="241"/>
      <c r="AI206" s="240"/>
    </row>
    <row r="207" spans="3:35" x14ac:dyDescent="0.2">
      <c r="C207" s="240"/>
      <c r="D207" s="240"/>
      <c r="E207" s="240"/>
      <c r="F207" s="240"/>
      <c r="G207" s="240"/>
      <c r="H207" s="240"/>
      <c r="I207" s="240"/>
      <c r="J207" s="240"/>
      <c r="K207" s="240"/>
      <c r="L207" s="240"/>
      <c r="M207" s="241"/>
      <c r="N207" s="241"/>
      <c r="O207" s="241"/>
      <c r="P207" s="241"/>
      <c r="Q207" s="241"/>
      <c r="R207" s="242"/>
      <c r="S207" s="243"/>
      <c r="T207" s="240"/>
      <c r="U207" s="240"/>
      <c r="V207" s="240"/>
      <c r="W207" s="240"/>
      <c r="X207" s="240"/>
      <c r="Y207" s="240"/>
      <c r="Z207" s="241"/>
      <c r="AA207" s="241"/>
      <c r="AB207" s="241"/>
      <c r="AC207" s="241"/>
      <c r="AD207" s="241"/>
      <c r="AE207" s="241"/>
      <c r="AF207" s="241"/>
      <c r="AG207" s="241"/>
      <c r="AH207" s="241"/>
      <c r="AI207" s="240"/>
    </row>
    <row r="208" spans="3:35" x14ac:dyDescent="0.2">
      <c r="C208" s="240"/>
      <c r="D208" s="240"/>
      <c r="E208" s="240"/>
      <c r="F208" s="240"/>
      <c r="G208" s="240"/>
      <c r="H208" s="240"/>
      <c r="I208" s="240"/>
      <c r="J208" s="240"/>
      <c r="K208" s="240"/>
      <c r="L208" s="240"/>
      <c r="M208" s="241"/>
      <c r="N208" s="241"/>
      <c r="O208" s="241"/>
      <c r="P208" s="241"/>
      <c r="Q208" s="241"/>
      <c r="R208" s="242"/>
      <c r="S208" s="243"/>
      <c r="T208" s="240"/>
      <c r="U208" s="240"/>
      <c r="V208" s="240"/>
      <c r="W208" s="240"/>
      <c r="X208" s="240"/>
      <c r="Y208" s="240"/>
      <c r="Z208" s="241"/>
      <c r="AA208" s="241"/>
      <c r="AB208" s="241"/>
      <c r="AC208" s="241"/>
      <c r="AD208" s="241"/>
      <c r="AE208" s="241"/>
      <c r="AF208" s="241"/>
      <c r="AG208" s="241"/>
      <c r="AH208" s="241"/>
      <c r="AI208" s="240"/>
    </row>
    <row r="209" spans="3:35" x14ac:dyDescent="0.2">
      <c r="C209" s="240"/>
      <c r="D209" s="240"/>
      <c r="E209" s="240"/>
      <c r="F209" s="240"/>
      <c r="G209" s="240"/>
      <c r="H209" s="240"/>
      <c r="I209" s="240"/>
      <c r="J209" s="240"/>
      <c r="K209" s="240"/>
      <c r="L209" s="240"/>
      <c r="M209" s="241"/>
      <c r="N209" s="241"/>
      <c r="O209" s="241"/>
      <c r="P209" s="241"/>
      <c r="Q209" s="241"/>
      <c r="R209" s="242"/>
      <c r="S209" s="243"/>
      <c r="T209" s="240"/>
      <c r="U209" s="240"/>
      <c r="V209" s="240"/>
      <c r="W209" s="240"/>
      <c r="X209" s="240"/>
      <c r="Y209" s="240"/>
      <c r="Z209" s="241"/>
      <c r="AA209" s="241"/>
      <c r="AB209" s="241"/>
      <c r="AC209" s="241"/>
      <c r="AD209" s="241"/>
      <c r="AE209" s="241"/>
      <c r="AF209" s="241"/>
      <c r="AG209" s="241"/>
      <c r="AH209" s="241"/>
      <c r="AI209" s="240"/>
    </row>
    <row r="210" spans="3:35" x14ac:dyDescent="0.2">
      <c r="C210" s="240"/>
      <c r="D210" s="240"/>
      <c r="E210" s="240"/>
      <c r="F210" s="240"/>
      <c r="G210" s="240"/>
      <c r="H210" s="240"/>
      <c r="I210" s="240"/>
      <c r="J210" s="240"/>
      <c r="K210" s="240"/>
      <c r="L210" s="240"/>
      <c r="M210" s="241"/>
      <c r="N210" s="241"/>
      <c r="O210" s="241"/>
      <c r="P210" s="241"/>
      <c r="Q210" s="241"/>
      <c r="R210" s="242"/>
      <c r="S210" s="243"/>
      <c r="T210" s="240"/>
      <c r="U210" s="240"/>
      <c r="V210" s="240"/>
      <c r="W210" s="240"/>
      <c r="X210" s="240"/>
      <c r="Y210" s="240"/>
      <c r="Z210" s="241"/>
      <c r="AA210" s="241"/>
      <c r="AB210" s="241"/>
      <c r="AC210" s="241"/>
      <c r="AD210" s="241"/>
      <c r="AE210" s="241"/>
      <c r="AF210" s="241"/>
      <c r="AG210" s="241"/>
      <c r="AH210" s="241"/>
      <c r="AI210" s="240"/>
    </row>
    <row r="211" spans="3:35" x14ac:dyDescent="0.2">
      <c r="C211" s="240"/>
      <c r="D211" s="240"/>
      <c r="E211" s="240"/>
      <c r="F211" s="240"/>
      <c r="G211" s="240"/>
      <c r="H211" s="240"/>
      <c r="I211" s="240"/>
      <c r="J211" s="240"/>
      <c r="K211" s="240"/>
      <c r="L211" s="240"/>
      <c r="M211" s="241"/>
      <c r="N211" s="241"/>
      <c r="O211" s="241"/>
      <c r="P211" s="241"/>
      <c r="Q211" s="241"/>
      <c r="R211" s="242"/>
      <c r="S211" s="243"/>
      <c r="T211" s="240"/>
      <c r="U211" s="240"/>
      <c r="V211" s="240"/>
      <c r="W211" s="240"/>
      <c r="X211" s="240"/>
      <c r="Y211" s="240"/>
      <c r="Z211" s="241"/>
      <c r="AA211" s="241"/>
      <c r="AB211" s="241"/>
      <c r="AC211" s="241"/>
      <c r="AD211" s="241"/>
      <c r="AE211" s="241"/>
      <c r="AF211" s="241"/>
      <c r="AG211" s="241"/>
      <c r="AH211" s="241"/>
      <c r="AI211" s="240"/>
    </row>
    <row r="212" spans="3:35" x14ac:dyDescent="0.2">
      <c r="C212" s="240"/>
      <c r="D212" s="240"/>
      <c r="E212" s="240"/>
      <c r="F212" s="240"/>
      <c r="G212" s="240"/>
      <c r="H212" s="240"/>
      <c r="I212" s="240"/>
      <c r="J212" s="240"/>
      <c r="K212" s="240"/>
      <c r="L212" s="240"/>
      <c r="M212" s="241"/>
      <c r="N212" s="241"/>
      <c r="O212" s="241"/>
      <c r="P212" s="241"/>
      <c r="Q212" s="241"/>
      <c r="R212" s="242"/>
      <c r="S212" s="243"/>
      <c r="T212" s="240"/>
      <c r="U212" s="240"/>
      <c r="V212" s="240"/>
      <c r="W212" s="240"/>
      <c r="X212" s="240"/>
      <c r="Y212" s="240"/>
      <c r="Z212" s="241"/>
      <c r="AA212" s="241"/>
      <c r="AB212" s="241"/>
      <c r="AC212" s="241"/>
      <c r="AD212" s="241"/>
      <c r="AE212" s="241"/>
      <c r="AF212" s="241"/>
      <c r="AG212" s="241"/>
      <c r="AH212" s="241"/>
      <c r="AI212" s="240"/>
    </row>
    <row r="213" spans="3:35" x14ac:dyDescent="0.2">
      <c r="C213" s="240"/>
      <c r="D213" s="240"/>
      <c r="E213" s="240"/>
      <c r="F213" s="240"/>
      <c r="G213" s="240"/>
      <c r="H213" s="240"/>
      <c r="I213" s="240"/>
      <c r="J213" s="240"/>
      <c r="K213" s="240"/>
      <c r="L213" s="240"/>
      <c r="M213" s="241"/>
      <c r="N213" s="241"/>
      <c r="O213" s="241"/>
      <c r="P213" s="241"/>
      <c r="Q213" s="241"/>
      <c r="R213" s="242"/>
      <c r="S213" s="243"/>
      <c r="T213" s="240"/>
      <c r="U213" s="240"/>
      <c r="V213" s="240"/>
      <c r="W213" s="240"/>
      <c r="X213" s="240"/>
      <c r="Y213" s="240"/>
      <c r="Z213" s="241"/>
      <c r="AA213" s="241"/>
      <c r="AB213" s="241"/>
      <c r="AC213" s="241"/>
      <c r="AD213" s="241"/>
      <c r="AE213" s="241"/>
      <c r="AF213" s="241"/>
      <c r="AG213" s="241"/>
      <c r="AH213" s="241"/>
      <c r="AI213" s="240"/>
    </row>
    <row r="214" spans="3:35" x14ac:dyDescent="0.2">
      <c r="C214" s="240"/>
      <c r="D214" s="240"/>
      <c r="E214" s="240"/>
      <c r="F214" s="240"/>
      <c r="G214" s="240"/>
      <c r="H214" s="240"/>
      <c r="I214" s="240"/>
      <c r="J214" s="240"/>
      <c r="K214" s="240"/>
      <c r="L214" s="240"/>
      <c r="M214" s="241"/>
      <c r="N214" s="241"/>
      <c r="O214" s="241"/>
      <c r="P214" s="241"/>
      <c r="Q214" s="241"/>
      <c r="R214" s="242"/>
      <c r="S214" s="243"/>
      <c r="T214" s="240"/>
      <c r="U214" s="240"/>
      <c r="V214" s="240"/>
      <c r="W214" s="240"/>
      <c r="X214" s="240"/>
      <c r="Y214" s="240"/>
      <c r="Z214" s="241"/>
      <c r="AA214" s="241"/>
      <c r="AB214" s="241"/>
      <c r="AC214" s="241"/>
      <c r="AD214" s="241"/>
      <c r="AE214" s="241"/>
      <c r="AF214" s="241"/>
      <c r="AG214" s="241"/>
      <c r="AH214" s="241"/>
      <c r="AI214" s="240"/>
    </row>
    <row r="215" spans="3:35" x14ac:dyDescent="0.2">
      <c r="C215" s="240"/>
      <c r="D215" s="240"/>
      <c r="E215" s="240"/>
      <c r="F215" s="240"/>
      <c r="G215" s="240"/>
      <c r="H215" s="240"/>
      <c r="I215" s="240"/>
      <c r="J215" s="240"/>
      <c r="K215" s="240"/>
      <c r="L215" s="240"/>
      <c r="M215" s="241"/>
      <c r="N215" s="241"/>
      <c r="O215" s="241"/>
      <c r="P215" s="241"/>
      <c r="Q215" s="241"/>
      <c r="R215" s="242"/>
      <c r="S215" s="243"/>
      <c r="T215" s="240"/>
      <c r="U215" s="240"/>
      <c r="V215" s="240"/>
      <c r="W215" s="240"/>
      <c r="X215" s="240"/>
      <c r="Y215" s="240"/>
      <c r="Z215" s="241"/>
      <c r="AA215" s="241"/>
      <c r="AB215" s="241"/>
      <c r="AC215" s="241"/>
      <c r="AD215" s="241"/>
      <c r="AE215" s="241"/>
      <c r="AF215" s="241"/>
      <c r="AG215" s="241"/>
      <c r="AH215" s="241"/>
      <c r="AI215" s="240"/>
    </row>
    <row r="216" spans="3:35" x14ac:dyDescent="0.2">
      <c r="C216" s="240"/>
      <c r="D216" s="240"/>
      <c r="E216" s="240"/>
      <c r="F216" s="240"/>
      <c r="G216" s="240"/>
      <c r="H216" s="240"/>
      <c r="I216" s="240"/>
      <c r="J216" s="240"/>
      <c r="K216" s="240"/>
      <c r="L216" s="240"/>
      <c r="M216" s="241"/>
      <c r="N216" s="241"/>
      <c r="O216" s="241"/>
      <c r="P216" s="241"/>
      <c r="Q216" s="241"/>
      <c r="R216" s="242"/>
      <c r="S216" s="243"/>
      <c r="T216" s="240"/>
      <c r="U216" s="240"/>
      <c r="V216" s="240"/>
      <c r="W216" s="240"/>
      <c r="X216" s="240"/>
      <c r="Y216" s="240"/>
      <c r="Z216" s="241"/>
      <c r="AA216" s="241"/>
      <c r="AB216" s="241"/>
      <c r="AC216" s="241"/>
      <c r="AD216" s="241"/>
      <c r="AE216" s="241"/>
      <c r="AF216" s="241"/>
      <c r="AG216" s="241"/>
      <c r="AH216" s="241"/>
      <c r="AI216" s="240"/>
    </row>
    <row r="217" spans="3:35" x14ac:dyDescent="0.2">
      <c r="C217" s="240"/>
      <c r="D217" s="240"/>
      <c r="E217" s="240"/>
      <c r="F217" s="240"/>
      <c r="G217" s="240"/>
      <c r="H217" s="240"/>
      <c r="I217" s="240"/>
      <c r="J217" s="240"/>
      <c r="K217" s="240"/>
      <c r="L217" s="240"/>
      <c r="M217" s="241"/>
      <c r="N217" s="241"/>
      <c r="O217" s="241"/>
      <c r="P217" s="241"/>
      <c r="Q217" s="241"/>
      <c r="R217" s="242"/>
      <c r="S217" s="243"/>
      <c r="T217" s="240"/>
      <c r="U217" s="240"/>
      <c r="V217" s="240"/>
      <c r="W217" s="240"/>
      <c r="X217" s="240"/>
      <c r="Y217" s="240"/>
      <c r="Z217" s="241"/>
      <c r="AA217" s="241"/>
      <c r="AB217" s="241"/>
      <c r="AC217" s="241"/>
      <c r="AD217" s="241"/>
      <c r="AE217" s="241"/>
      <c r="AF217" s="241"/>
      <c r="AG217" s="241"/>
      <c r="AH217" s="241"/>
      <c r="AI217" s="240"/>
    </row>
    <row r="218" spans="3:35" x14ac:dyDescent="0.2">
      <c r="C218" s="240"/>
      <c r="D218" s="240"/>
      <c r="E218" s="240"/>
      <c r="F218" s="240"/>
      <c r="G218" s="240"/>
      <c r="H218" s="240"/>
      <c r="I218" s="240"/>
      <c r="J218" s="240"/>
      <c r="K218" s="240"/>
      <c r="L218" s="240"/>
      <c r="M218" s="241"/>
      <c r="N218" s="241"/>
      <c r="O218" s="241"/>
      <c r="P218" s="241"/>
      <c r="Q218" s="241"/>
      <c r="R218" s="242"/>
      <c r="S218" s="243"/>
      <c r="T218" s="240"/>
      <c r="U218" s="240"/>
      <c r="V218" s="240"/>
      <c r="W218" s="240"/>
      <c r="X218" s="240"/>
      <c r="Y218" s="240"/>
      <c r="Z218" s="241"/>
      <c r="AA218" s="241"/>
      <c r="AB218" s="241"/>
      <c r="AC218" s="241"/>
      <c r="AD218" s="241"/>
      <c r="AE218" s="241"/>
      <c r="AF218" s="241"/>
      <c r="AG218" s="241"/>
      <c r="AH218" s="241"/>
      <c r="AI218" s="240"/>
    </row>
    <row r="219" spans="3:35" x14ac:dyDescent="0.2">
      <c r="C219" s="240"/>
      <c r="D219" s="240"/>
      <c r="E219" s="240"/>
      <c r="F219" s="240"/>
      <c r="G219" s="240"/>
      <c r="H219" s="240"/>
      <c r="I219" s="240"/>
      <c r="J219" s="240"/>
      <c r="K219" s="240"/>
      <c r="L219" s="240"/>
      <c r="M219" s="241"/>
      <c r="N219" s="241"/>
      <c r="O219" s="241"/>
      <c r="P219" s="241"/>
      <c r="Q219" s="241"/>
      <c r="R219" s="242"/>
      <c r="S219" s="243"/>
      <c r="T219" s="240"/>
      <c r="U219" s="240"/>
      <c r="V219" s="240"/>
      <c r="W219" s="240"/>
      <c r="X219" s="240"/>
      <c r="Y219" s="240"/>
      <c r="Z219" s="241"/>
      <c r="AA219" s="241"/>
      <c r="AB219" s="241"/>
      <c r="AC219" s="241"/>
      <c r="AD219" s="241"/>
      <c r="AE219" s="241"/>
      <c r="AF219" s="241"/>
      <c r="AG219" s="241"/>
      <c r="AH219" s="241"/>
      <c r="AI219" s="240"/>
    </row>
    <row r="220" spans="3:35" x14ac:dyDescent="0.2">
      <c r="C220" s="240"/>
      <c r="D220" s="240"/>
      <c r="E220" s="240"/>
      <c r="F220" s="240"/>
      <c r="G220" s="240"/>
      <c r="H220" s="240"/>
      <c r="I220" s="240"/>
      <c r="J220" s="240"/>
      <c r="K220" s="240"/>
      <c r="L220" s="240"/>
      <c r="M220" s="241"/>
      <c r="N220" s="241"/>
      <c r="O220" s="241"/>
      <c r="P220" s="241"/>
      <c r="Q220" s="241"/>
      <c r="R220" s="242"/>
      <c r="S220" s="243"/>
      <c r="T220" s="240"/>
      <c r="U220" s="240"/>
      <c r="V220" s="240"/>
      <c r="W220" s="240"/>
      <c r="X220" s="240"/>
      <c r="Y220" s="240"/>
      <c r="Z220" s="241"/>
      <c r="AA220" s="241"/>
      <c r="AB220" s="241"/>
      <c r="AC220" s="241"/>
      <c r="AD220" s="241"/>
      <c r="AE220" s="241"/>
      <c r="AF220" s="241"/>
      <c r="AG220" s="241"/>
      <c r="AH220" s="241"/>
      <c r="AI220" s="240"/>
    </row>
    <row r="221" spans="3:35" x14ac:dyDescent="0.2">
      <c r="C221" s="240"/>
      <c r="D221" s="240"/>
      <c r="E221" s="240"/>
      <c r="F221" s="240"/>
      <c r="G221" s="240"/>
      <c r="H221" s="240"/>
      <c r="I221" s="240"/>
      <c r="J221" s="240"/>
      <c r="K221" s="240"/>
      <c r="L221" s="240"/>
      <c r="M221" s="241"/>
      <c r="N221" s="241"/>
      <c r="O221" s="241"/>
      <c r="P221" s="241"/>
      <c r="Q221" s="241"/>
      <c r="R221" s="242"/>
      <c r="S221" s="243"/>
      <c r="T221" s="240"/>
      <c r="U221" s="240"/>
      <c r="V221" s="240"/>
      <c r="W221" s="240"/>
      <c r="X221" s="240"/>
      <c r="Y221" s="240"/>
      <c r="Z221" s="241"/>
      <c r="AA221" s="241"/>
      <c r="AB221" s="241"/>
      <c r="AC221" s="241"/>
      <c r="AD221" s="241"/>
      <c r="AE221" s="241"/>
      <c r="AF221" s="241"/>
      <c r="AG221" s="241"/>
      <c r="AH221" s="241"/>
      <c r="AI221" s="240"/>
    </row>
    <row r="222" spans="3:35" x14ac:dyDescent="0.2">
      <c r="C222" s="240"/>
      <c r="D222" s="240"/>
      <c r="E222" s="240"/>
      <c r="F222" s="240"/>
      <c r="G222" s="240"/>
      <c r="H222" s="240"/>
      <c r="I222" s="240"/>
      <c r="J222" s="240"/>
      <c r="K222" s="240"/>
      <c r="L222" s="240"/>
      <c r="M222" s="241"/>
      <c r="N222" s="241"/>
      <c r="O222" s="241"/>
      <c r="P222" s="241"/>
      <c r="Q222" s="241"/>
      <c r="R222" s="242"/>
      <c r="S222" s="243"/>
      <c r="T222" s="240"/>
      <c r="U222" s="240"/>
      <c r="V222" s="240"/>
      <c r="W222" s="240"/>
      <c r="X222" s="240"/>
      <c r="Y222" s="240"/>
      <c r="Z222" s="241"/>
      <c r="AA222" s="241"/>
      <c r="AB222" s="241"/>
      <c r="AC222" s="241"/>
      <c r="AD222" s="241"/>
      <c r="AE222" s="241"/>
      <c r="AF222" s="241"/>
      <c r="AG222" s="241"/>
      <c r="AH222" s="241"/>
      <c r="AI222" s="240"/>
    </row>
    <row r="223" spans="3:35" x14ac:dyDescent="0.2">
      <c r="C223" s="240"/>
      <c r="D223" s="240"/>
      <c r="E223" s="240"/>
      <c r="F223" s="240"/>
      <c r="G223" s="240"/>
      <c r="H223" s="240"/>
      <c r="I223" s="240"/>
      <c r="J223" s="240"/>
      <c r="K223" s="240"/>
      <c r="L223" s="240"/>
      <c r="M223" s="241"/>
      <c r="N223" s="241"/>
      <c r="O223" s="241"/>
      <c r="P223" s="241"/>
      <c r="Q223" s="241"/>
      <c r="R223" s="242"/>
      <c r="S223" s="243"/>
      <c r="T223" s="240"/>
      <c r="U223" s="240"/>
      <c r="V223" s="240"/>
      <c r="W223" s="240"/>
      <c r="X223" s="240"/>
      <c r="Y223" s="240"/>
      <c r="Z223" s="241"/>
      <c r="AA223" s="241"/>
      <c r="AB223" s="241"/>
      <c r="AC223" s="241"/>
      <c r="AD223" s="241"/>
      <c r="AE223" s="241"/>
      <c r="AF223" s="241"/>
      <c r="AG223" s="241"/>
      <c r="AH223" s="241"/>
      <c r="AI223" s="240"/>
    </row>
    <row r="224" spans="3:35" x14ac:dyDescent="0.2">
      <c r="C224" s="240"/>
      <c r="D224" s="240"/>
      <c r="E224" s="240"/>
      <c r="F224" s="240"/>
      <c r="G224" s="240"/>
      <c r="H224" s="240"/>
      <c r="I224" s="240"/>
      <c r="J224" s="240"/>
      <c r="K224" s="240"/>
      <c r="L224" s="240"/>
      <c r="M224" s="241"/>
      <c r="N224" s="241"/>
      <c r="O224" s="241"/>
      <c r="P224" s="241"/>
      <c r="Q224" s="241"/>
      <c r="R224" s="242"/>
      <c r="S224" s="243"/>
      <c r="T224" s="240"/>
      <c r="U224" s="240"/>
      <c r="V224" s="240"/>
      <c r="W224" s="240"/>
      <c r="X224" s="240"/>
      <c r="Y224" s="240"/>
      <c r="Z224" s="241"/>
      <c r="AA224" s="241"/>
      <c r="AB224" s="241"/>
      <c r="AC224" s="241"/>
      <c r="AD224" s="241"/>
      <c r="AE224" s="241"/>
      <c r="AF224" s="241"/>
      <c r="AG224" s="241"/>
      <c r="AH224" s="241"/>
      <c r="AI224" s="240"/>
    </row>
    <row r="225" spans="3:35" x14ac:dyDescent="0.2">
      <c r="C225" s="240"/>
      <c r="D225" s="240"/>
      <c r="E225" s="240"/>
      <c r="F225" s="240"/>
      <c r="G225" s="240"/>
      <c r="H225" s="240"/>
      <c r="I225" s="240"/>
      <c r="J225" s="240"/>
      <c r="K225" s="240"/>
      <c r="L225" s="240"/>
      <c r="M225" s="241"/>
      <c r="N225" s="241"/>
      <c r="O225" s="241"/>
      <c r="P225" s="241"/>
      <c r="Q225" s="241"/>
      <c r="R225" s="242"/>
      <c r="S225" s="243"/>
      <c r="T225" s="240"/>
      <c r="U225" s="240"/>
      <c r="V225" s="240"/>
      <c r="W225" s="240"/>
      <c r="X225" s="240"/>
      <c r="Y225" s="240"/>
      <c r="Z225" s="241"/>
      <c r="AA225" s="241"/>
      <c r="AB225" s="241"/>
      <c r="AC225" s="241"/>
      <c r="AD225" s="241"/>
      <c r="AE225" s="241"/>
      <c r="AF225" s="241"/>
      <c r="AG225" s="241"/>
      <c r="AH225" s="241"/>
      <c r="AI225" s="240"/>
    </row>
    <row r="226" spans="3:35" x14ac:dyDescent="0.2">
      <c r="C226" s="240"/>
      <c r="D226" s="240"/>
      <c r="E226" s="240"/>
      <c r="F226" s="240"/>
      <c r="G226" s="240"/>
      <c r="H226" s="240"/>
      <c r="I226" s="240"/>
      <c r="J226" s="240"/>
      <c r="K226" s="240"/>
      <c r="L226" s="240"/>
      <c r="M226" s="241"/>
      <c r="N226" s="241"/>
      <c r="O226" s="241"/>
      <c r="P226" s="241"/>
      <c r="Q226" s="241"/>
      <c r="R226" s="242"/>
      <c r="S226" s="243"/>
      <c r="T226" s="240"/>
      <c r="U226" s="240"/>
      <c r="V226" s="240"/>
      <c r="W226" s="240"/>
      <c r="X226" s="240"/>
      <c r="Y226" s="240"/>
      <c r="Z226" s="241"/>
      <c r="AA226" s="241"/>
      <c r="AB226" s="241"/>
      <c r="AC226" s="241"/>
      <c r="AD226" s="241"/>
      <c r="AE226" s="241"/>
      <c r="AF226" s="241"/>
      <c r="AG226" s="241"/>
      <c r="AH226" s="241"/>
      <c r="AI226" s="240"/>
    </row>
    <row r="227" spans="3:35" x14ac:dyDescent="0.2">
      <c r="C227" s="240"/>
      <c r="D227" s="240"/>
      <c r="E227" s="240"/>
      <c r="F227" s="240"/>
      <c r="G227" s="240"/>
      <c r="H227" s="240"/>
      <c r="I227" s="240"/>
      <c r="J227" s="240"/>
      <c r="K227" s="240"/>
      <c r="L227" s="240"/>
      <c r="M227" s="241"/>
      <c r="N227" s="241"/>
      <c r="O227" s="241"/>
      <c r="P227" s="241"/>
      <c r="Q227" s="241"/>
      <c r="R227" s="242"/>
      <c r="S227" s="243"/>
      <c r="T227" s="240"/>
      <c r="U227" s="240"/>
      <c r="V227" s="240"/>
      <c r="W227" s="240"/>
      <c r="X227" s="240"/>
      <c r="Y227" s="240"/>
      <c r="Z227" s="241"/>
      <c r="AA227" s="241"/>
      <c r="AB227" s="241"/>
      <c r="AC227" s="241"/>
      <c r="AD227" s="241"/>
      <c r="AE227" s="241"/>
      <c r="AF227" s="241"/>
      <c r="AG227" s="241"/>
      <c r="AH227" s="241"/>
      <c r="AI227" s="240"/>
    </row>
    <row r="228" spans="3:35" x14ac:dyDescent="0.2">
      <c r="C228" s="240"/>
      <c r="D228" s="240"/>
      <c r="E228" s="240"/>
      <c r="F228" s="240"/>
      <c r="G228" s="240"/>
      <c r="H228" s="240"/>
      <c r="I228" s="240"/>
      <c r="J228" s="240"/>
      <c r="K228" s="240"/>
      <c r="L228" s="240"/>
      <c r="M228" s="241"/>
      <c r="N228" s="241"/>
      <c r="O228" s="241"/>
      <c r="P228" s="241"/>
      <c r="Q228" s="241"/>
      <c r="R228" s="242"/>
      <c r="S228" s="243"/>
      <c r="T228" s="240"/>
      <c r="U228" s="240"/>
      <c r="V228" s="240"/>
      <c r="W228" s="240"/>
      <c r="X228" s="240"/>
      <c r="Y228" s="240"/>
      <c r="Z228" s="241"/>
      <c r="AA228" s="241"/>
      <c r="AB228" s="241"/>
      <c r="AC228" s="241"/>
      <c r="AD228" s="241"/>
      <c r="AE228" s="241"/>
      <c r="AF228" s="241"/>
      <c r="AG228" s="241"/>
      <c r="AH228" s="241"/>
      <c r="AI228" s="240"/>
    </row>
    <row r="229" spans="3:35" x14ac:dyDescent="0.2">
      <c r="C229" s="240"/>
      <c r="D229" s="240"/>
      <c r="E229" s="240"/>
      <c r="F229" s="240"/>
      <c r="G229" s="240"/>
      <c r="H229" s="240"/>
      <c r="I229" s="240"/>
      <c r="J229" s="240"/>
      <c r="K229" s="240"/>
      <c r="L229" s="240"/>
      <c r="M229" s="241"/>
      <c r="N229" s="241"/>
      <c r="O229" s="241"/>
      <c r="P229" s="241"/>
      <c r="Q229" s="241"/>
      <c r="R229" s="242"/>
      <c r="S229" s="243"/>
      <c r="T229" s="240"/>
      <c r="U229" s="240"/>
      <c r="V229" s="240"/>
      <c r="W229" s="240"/>
      <c r="X229" s="240"/>
      <c r="Y229" s="240"/>
      <c r="Z229" s="241"/>
      <c r="AA229" s="241"/>
      <c r="AB229" s="241"/>
      <c r="AC229" s="241"/>
      <c r="AD229" s="241"/>
      <c r="AE229" s="241"/>
      <c r="AF229" s="241"/>
      <c r="AG229" s="241"/>
      <c r="AH229" s="241"/>
      <c r="AI229" s="240"/>
    </row>
    <row r="230" spans="3:35" x14ac:dyDescent="0.2">
      <c r="C230" s="240"/>
      <c r="D230" s="240"/>
      <c r="E230" s="240"/>
      <c r="F230" s="240"/>
      <c r="G230" s="240"/>
      <c r="H230" s="240"/>
      <c r="I230" s="240"/>
      <c r="J230" s="240"/>
      <c r="K230" s="240"/>
      <c r="L230" s="240"/>
      <c r="M230" s="241"/>
      <c r="N230" s="241"/>
      <c r="O230" s="241"/>
      <c r="P230" s="241"/>
      <c r="Q230" s="241"/>
      <c r="R230" s="242"/>
      <c r="S230" s="243"/>
      <c r="T230" s="240"/>
      <c r="U230" s="240"/>
      <c r="V230" s="240"/>
      <c r="W230" s="240"/>
      <c r="X230" s="240"/>
      <c r="Y230" s="240"/>
      <c r="Z230" s="241"/>
      <c r="AA230" s="241"/>
      <c r="AB230" s="241"/>
      <c r="AC230" s="241"/>
      <c r="AD230" s="241"/>
      <c r="AE230" s="241"/>
      <c r="AF230" s="241"/>
      <c r="AG230" s="241"/>
      <c r="AH230" s="241"/>
      <c r="AI230" s="240"/>
    </row>
    <row r="231" spans="3:35" x14ac:dyDescent="0.2">
      <c r="C231" s="240"/>
      <c r="D231" s="240"/>
      <c r="E231" s="240"/>
      <c r="F231" s="240"/>
      <c r="G231" s="240"/>
      <c r="H231" s="240"/>
      <c r="I231" s="240"/>
      <c r="J231" s="240"/>
      <c r="K231" s="240"/>
      <c r="L231" s="240"/>
      <c r="M231" s="241"/>
      <c r="N231" s="241"/>
      <c r="O231" s="241"/>
      <c r="P231" s="241"/>
      <c r="Q231" s="241"/>
      <c r="R231" s="242"/>
      <c r="S231" s="243"/>
      <c r="T231" s="240"/>
      <c r="U231" s="240"/>
      <c r="V231" s="240"/>
      <c r="W231" s="240"/>
      <c r="X231" s="240"/>
      <c r="Y231" s="240"/>
      <c r="Z231" s="241"/>
      <c r="AA231" s="241"/>
      <c r="AB231" s="241"/>
      <c r="AC231" s="241"/>
      <c r="AD231" s="241"/>
      <c r="AE231" s="241"/>
      <c r="AF231" s="241"/>
      <c r="AG231" s="241"/>
      <c r="AH231" s="241"/>
      <c r="AI231" s="240"/>
    </row>
    <row r="232" spans="3:35" x14ac:dyDescent="0.2">
      <c r="C232" s="240"/>
      <c r="D232" s="240"/>
      <c r="E232" s="240"/>
      <c r="F232" s="240"/>
      <c r="G232" s="240"/>
      <c r="H232" s="240"/>
      <c r="I232" s="240"/>
      <c r="J232" s="240"/>
      <c r="K232" s="240"/>
      <c r="L232" s="240"/>
      <c r="M232" s="241"/>
      <c r="N232" s="241"/>
      <c r="O232" s="241"/>
      <c r="P232" s="241"/>
      <c r="Q232" s="241"/>
      <c r="R232" s="242"/>
      <c r="S232" s="243"/>
      <c r="T232" s="240"/>
      <c r="U232" s="240"/>
      <c r="V232" s="240"/>
      <c r="W232" s="240"/>
      <c r="X232" s="240"/>
      <c r="Y232" s="240"/>
      <c r="Z232" s="241"/>
      <c r="AA232" s="241"/>
      <c r="AB232" s="241"/>
      <c r="AC232" s="241"/>
      <c r="AD232" s="241"/>
      <c r="AE232" s="241"/>
      <c r="AF232" s="241"/>
      <c r="AG232" s="241"/>
      <c r="AH232" s="241"/>
      <c r="AI232" s="240"/>
    </row>
    <row r="233" spans="3:35" x14ac:dyDescent="0.2">
      <c r="C233" s="240"/>
      <c r="D233" s="240"/>
      <c r="E233" s="240"/>
      <c r="F233" s="240"/>
      <c r="G233" s="240"/>
      <c r="H233" s="240"/>
      <c r="I233" s="240"/>
      <c r="J233" s="240"/>
      <c r="K233" s="240"/>
      <c r="L233" s="240"/>
      <c r="M233" s="241"/>
      <c r="N233" s="241"/>
      <c r="O233" s="241"/>
      <c r="P233" s="241"/>
      <c r="Q233" s="241"/>
      <c r="R233" s="242"/>
      <c r="S233" s="243"/>
      <c r="T233" s="240"/>
      <c r="U233" s="240"/>
      <c r="V233" s="240"/>
      <c r="W233" s="240"/>
      <c r="X233" s="240"/>
      <c r="Y233" s="240"/>
      <c r="Z233" s="241"/>
      <c r="AA233" s="241"/>
      <c r="AB233" s="241"/>
      <c r="AC233" s="241"/>
      <c r="AD233" s="241"/>
      <c r="AE233" s="241"/>
      <c r="AF233" s="241"/>
      <c r="AG233" s="241"/>
      <c r="AH233" s="241"/>
      <c r="AI233" s="240"/>
    </row>
    <row r="234" spans="3:35" x14ac:dyDescent="0.2">
      <c r="C234" s="240"/>
      <c r="D234" s="240"/>
      <c r="E234" s="240"/>
      <c r="F234" s="240"/>
      <c r="G234" s="240"/>
      <c r="H234" s="240"/>
      <c r="I234" s="240"/>
      <c r="J234" s="240"/>
      <c r="K234" s="240"/>
      <c r="L234" s="240"/>
      <c r="M234" s="241"/>
      <c r="N234" s="241"/>
      <c r="O234" s="241"/>
      <c r="P234" s="241"/>
      <c r="Q234" s="241"/>
      <c r="R234" s="242"/>
      <c r="S234" s="243"/>
      <c r="T234" s="240"/>
      <c r="U234" s="240"/>
      <c r="V234" s="240"/>
      <c r="W234" s="240"/>
      <c r="X234" s="240"/>
      <c r="Y234" s="240"/>
      <c r="Z234" s="241"/>
      <c r="AA234" s="241"/>
      <c r="AB234" s="241"/>
      <c r="AC234" s="241"/>
      <c r="AD234" s="241"/>
      <c r="AE234" s="241"/>
      <c r="AF234" s="241"/>
      <c r="AG234" s="241"/>
      <c r="AH234" s="241"/>
      <c r="AI234" s="240"/>
    </row>
    <row r="235" spans="3:35" x14ac:dyDescent="0.2">
      <c r="C235" s="240"/>
      <c r="D235" s="240"/>
      <c r="E235" s="240"/>
      <c r="F235" s="240"/>
      <c r="G235" s="240"/>
      <c r="H235" s="240"/>
      <c r="I235" s="240"/>
      <c r="J235" s="240"/>
      <c r="K235" s="240"/>
      <c r="L235" s="240"/>
      <c r="M235" s="241"/>
      <c r="N235" s="241"/>
      <c r="O235" s="241"/>
      <c r="P235" s="241"/>
      <c r="Q235" s="241"/>
      <c r="R235" s="242"/>
      <c r="S235" s="243"/>
      <c r="T235" s="240"/>
      <c r="U235" s="240"/>
      <c r="V235" s="240"/>
      <c r="W235" s="240"/>
      <c r="X235" s="240"/>
      <c r="Y235" s="240"/>
      <c r="Z235" s="241"/>
      <c r="AA235" s="241"/>
      <c r="AB235" s="241"/>
      <c r="AC235" s="241"/>
      <c r="AD235" s="241"/>
      <c r="AE235" s="241"/>
      <c r="AF235" s="241"/>
      <c r="AG235" s="241"/>
      <c r="AH235" s="241"/>
      <c r="AI235" s="240"/>
    </row>
    <row r="236" spans="3:35" x14ac:dyDescent="0.2">
      <c r="C236" s="240"/>
      <c r="D236" s="240"/>
      <c r="E236" s="240"/>
      <c r="F236" s="240"/>
      <c r="G236" s="240"/>
      <c r="H236" s="240"/>
      <c r="I236" s="240"/>
      <c r="J236" s="240"/>
      <c r="K236" s="240"/>
      <c r="L236" s="240"/>
      <c r="M236" s="241"/>
      <c r="N236" s="241"/>
      <c r="O236" s="241"/>
      <c r="P236" s="241"/>
      <c r="Q236" s="241"/>
      <c r="R236" s="242"/>
      <c r="S236" s="243"/>
      <c r="T236" s="240"/>
      <c r="U236" s="240"/>
      <c r="V236" s="240"/>
      <c r="W236" s="240"/>
      <c r="X236" s="240"/>
      <c r="Y236" s="240"/>
      <c r="Z236" s="241"/>
      <c r="AA236" s="241"/>
      <c r="AB236" s="241"/>
      <c r="AC236" s="241"/>
      <c r="AD236" s="241"/>
      <c r="AE236" s="241"/>
      <c r="AF236" s="241"/>
      <c r="AG236" s="241"/>
      <c r="AH236" s="241"/>
      <c r="AI236" s="240"/>
    </row>
    <row r="237" spans="3:35" x14ac:dyDescent="0.2">
      <c r="C237" s="240"/>
      <c r="D237" s="240"/>
      <c r="E237" s="240"/>
      <c r="F237" s="240"/>
      <c r="G237" s="240"/>
      <c r="H237" s="240"/>
      <c r="I237" s="240"/>
      <c r="J237" s="240"/>
      <c r="K237" s="240"/>
      <c r="L237" s="240"/>
      <c r="M237" s="241"/>
      <c r="N237" s="241"/>
      <c r="O237" s="241"/>
      <c r="P237" s="241"/>
      <c r="Q237" s="241"/>
      <c r="R237" s="242"/>
      <c r="S237" s="243"/>
      <c r="T237" s="240"/>
      <c r="U237" s="240"/>
      <c r="V237" s="240"/>
      <c r="W237" s="240"/>
      <c r="X237" s="240"/>
      <c r="Y237" s="240"/>
      <c r="Z237" s="241"/>
      <c r="AA237" s="241"/>
      <c r="AB237" s="241"/>
      <c r="AC237" s="241"/>
      <c r="AD237" s="241"/>
      <c r="AE237" s="241"/>
      <c r="AF237" s="241"/>
      <c r="AG237" s="241"/>
      <c r="AH237" s="241"/>
      <c r="AI237" s="240"/>
    </row>
    <row r="238" spans="3:35" x14ac:dyDescent="0.2">
      <c r="C238" s="240"/>
      <c r="D238" s="240"/>
      <c r="E238" s="240"/>
      <c r="F238" s="240"/>
      <c r="G238" s="240"/>
      <c r="H238" s="240"/>
      <c r="I238" s="240"/>
      <c r="J238" s="240"/>
      <c r="K238" s="240"/>
      <c r="L238" s="240"/>
      <c r="M238" s="241"/>
      <c r="N238" s="241"/>
      <c r="O238" s="241"/>
      <c r="P238" s="241"/>
      <c r="Q238" s="241"/>
      <c r="R238" s="242"/>
      <c r="S238" s="243"/>
      <c r="T238" s="240"/>
      <c r="U238" s="240"/>
      <c r="V238" s="240"/>
      <c r="W238" s="240"/>
      <c r="X238" s="240"/>
      <c r="Y238" s="240"/>
      <c r="Z238" s="241"/>
      <c r="AA238" s="241"/>
      <c r="AB238" s="241"/>
      <c r="AC238" s="241"/>
      <c r="AD238" s="241"/>
      <c r="AE238" s="241"/>
      <c r="AF238" s="241"/>
      <c r="AG238" s="241"/>
      <c r="AH238" s="241"/>
      <c r="AI238" s="240"/>
    </row>
    <row r="239" spans="3:35" x14ac:dyDescent="0.2">
      <c r="C239" s="240"/>
      <c r="D239" s="240"/>
      <c r="E239" s="240"/>
      <c r="F239" s="240"/>
      <c r="G239" s="240"/>
      <c r="H239" s="240"/>
      <c r="I239" s="240"/>
      <c r="J239" s="240"/>
      <c r="K239" s="240"/>
      <c r="L239" s="240"/>
      <c r="M239" s="241"/>
      <c r="N239" s="241"/>
      <c r="O239" s="241"/>
      <c r="P239" s="241"/>
      <c r="Q239" s="241"/>
      <c r="R239" s="242"/>
      <c r="S239" s="243"/>
      <c r="T239" s="240"/>
      <c r="U239" s="240"/>
      <c r="V239" s="240"/>
      <c r="W239" s="240"/>
      <c r="X239" s="240"/>
      <c r="Y239" s="240"/>
      <c r="Z239" s="241"/>
      <c r="AA239" s="241"/>
      <c r="AB239" s="241"/>
      <c r="AC239" s="241"/>
      <c r="AD239" s="241"/>
      <c r="AE239" s="241"/>
      <c r="AF239" s="241"/>
      <c r="AG239" s="241"/>
      <c r="AH239" s="241"/>
      <c r="AI239" s="240"/>
    </row>
    <row r="240" spans="3:35" x14ac:dyDescent="0.2">
      <c r="C240" s="240"/>
      <c r="D240" s="240"/>
      <c r="E240" s="240"/>
      <c r="F240" s="240"/>
      <c r="G240" s="240"/>
      <c r="H240" s="240"/>
      <c r="I240" s="240"/>
      <c r="J240" s="240"/>
      <c r="K240" s="240"/>
      <c r="L240" s="240"/>
      <c r="M240" s="241"/>
      <c r="N240" s="241"/>
      <c r="O240" s="241"/>
      <c r="P240" s="241"/>
      <c r="Q240" s="241"/>
      <c r="R240" s="242"/>
      <c r="S240" s="243"/>
      <c r="T240" s="240"/>
      <c r="U240" s="240"/>
      <c r="V240" s="240"/>
      <c r="W240" s="240"/>
      <c r="X240" s="240"/>
      <c r="Y240" s="240"/>
      <c r="Z240" s="241"/>
      <c r="AA240" s="241"/>
      <c r="AB240" s="241"/>
      <c r="AC240" s="241"/>
      <c r="AD240" s="241"/>
      <c r="AE240" s="241"/>
      <c r="AF240" s="241"/>
      <c r="AG240" s="241"/>
      <c r="AH240" s="241"/>
      <c r="AI240" s="240"/>
    </row>
    <row r="241" spans="3:35" x14ac:dyDescent="0.2">
      <c r="C241" s="240"/>
      <c r="D241" s="240"/>
      <c r="E241" s="240"/>
      <c r="F241" s="240"/>
      <c r="G241" s="240"/>
      <c r="H241" s="240"/>
      <c r="I241" s="240"/>
      <c r="J241" s="240"/>
      <c r="K241" s="240"/>
      <c r="L241" s="240"/>
      <c r="M241" s="241"/>
      <c r="N241" s="241"/>
      <c r="O241" s="241"/>
      <c r="P241" s="241"/>
      <c r="Q241" s="241"/>
      <c r="R241" s="242"/>
      <c r="S241" s="243"/>
      <c r="T241" s="240"/>
      <c r="U241" s="240"/>
      <c r="V241" s="240"/>
      <c r="W241" s="240"/>
      <c r="X241" s="240"/>
      <c r="Y241" s="240"/>
      <c r="Z241" s="241"/>
      <c r="AA241" s="241"/>
      <c r="AB241" s="241"/>
      <c r="AC241" s="241"/>
      <c r="AD241" s="241"/>
      <c r="AE241" s="241"/>
      <c r="AF241" s="241"/>
      <c r="AG241" s="241"/>
      <c r="AH241" s="241"/>
      <c r="AI241" s="240"/>
    </row>
    <row r="242" spans="3:35" x14ac:dyDescent="0.2">
      <c r="C242" s="240"/>
      <c r="D242" s="240"/>
      <c r="E242" s="240"/>
      <c r="F242" s="240"/>
      <c r="G242" s="240"/>
      <c r="H242" s="240"/>
      <c r="I242" s="240"/>
      <c r="J242" s="240"/>
      <c r="K242" s="240"/>
      <c r="L242" s="240"/>
      <c r="M242" s="241"/>
      <c r="N242" s="241"/>
      <c r="O242" s="241"/>
      <c r="P242" s="241"/>
      <c r="Q242" s="241"/>
      <c r="R242" s="242"/>
      <c r="S242" s="243"/>
      <c r="T242" s="240"/>
      <c r="U242" s="240"/>
      <c r="V242" s="240"/>
      <c r="W242" s="240"/>
      <c r="X242" s="240"/>
      <c r="Y242" s="240"/>
      <c r="Z242" s="241"/>
      <c r="AA242" s="241"/>
      <c r="AB242" s="241"/>
      <c r="AC242" s="241"/>
      <c r="AD242" s="241"/>
      <c r="AE242" s="241"/>
      <c r="AF242" s="241"/>
      <c r="AG242" s="241"/>
      <c r="AH242" s="241"/>
      <c r="AI242" s="240"/>
    </row>
    <row r="243" spans="3:35" x14ac:dyDescent="0.2">
      <c r="C243" s="240"/>
      <c r="D243" s="240"/>
      <c r="E243" s="240"/>
      <c r="F243" s="240"/>
      <c r="G243" s="240"/>
      <c r="H243" s="240"/>
      <c r="I243" s="240"/>
      <c r="J243" s="240"/>
      <c r="K243" s="240"/>
      <c r="L243" s="240"/>
      <c r="M243" s="241"/>
      <c r="N243" s="241"/>
      <c r="O243" s="241"/>
      <c r="P243" s="241"/>
      <c r="Q243" s="241"/>
      <c r="R243" s="242"/>
      <c r="S243" s="243"/>
      <c r="T243" s="240"/>
      <c r="U243" s="240"/>
      <c r="V243" s="240"/>
      <c r="W243" s="240"/>
      <c r="X243" s="240"/>
      <c r="Y243" s="240"/>
      <c r="Z243" s="241"/>
      <c r="AA243" s="241"/>
      <c r="AB243" s="241"/>
      <c r="AC243" s="241"/>
      <c r="AD243" s="241"/>
      <c r="AE243" s="241"/>
      <c r="AF243" s="241"/>
      <c r="AG243" s="241"/>
      <c r="AH243" s="241"/>
      <c r="AI243" s="240"/>
    </row>
    <row r="244" spans="3:35" x14ac:dyDescent="0.2">
      <c r="C244" s="240"/>
      <c r="D244" s="240"/>
      <c r="E244" s="240"/>
      <c r="F244" s="240"/>
      <c r="G244" s="240"/>
      <c r="H244" s="240"/>
      <c r="I244" s="240"/>
      <c r="J244" s="240"/>
      <c r="K244" s="240"/>
      <c r="L244" s="240"/>
      <c r="M244" s="241"/>
      <c r="N244" s="241"/>
      <c r="O244" s="241"/>
      <c r="P244" s="241"/>
      <c r="Q244" s="241"/>
      <c r="R244" s="242"/>
      <c r="S244" s="243"/>
      <c r="T244" s="240"/>
      <c r="U244" s="240"/>
      <c r="V244" s="240"/>
      <c r="W244" s="240"/>
      <c r="X244" s="240"/>
      <c r="Y244" s="240"/>
      <c r="Z244" s="241"/>
      <c r="AA244" s="241"/>
      <c r="AB244" s="241"/>
      <c r="AC244" s="241"/>
      <c r="AD244" s="241"/>
      <c r="AE244" s="241"/>
      <c r="AF244" s="241"/>
      <c r="AG244" s="241"/>
      <c r="AH244" s="241"/>
      <c r="AI244" s="240"/>
    </row>
    <row r="245" spans="3:35" x14ac:dyDescent="0.2">
      <c r="C245" s="240"/>
      <c r="D245" s="240"/>
      <c r="E245" s="240"/>
      <c r="F245" s="240"/>
      <c r="G245" s="240"/>
      <c r="H245" s="240"/>
      <c r="I245" s="240"/>
      <c r="J245" s="240"/>
      <c r="K245" s="240"/>
      <c r="L245" s="240"/>
      <c r="M245" s="241"/>
      <c r="N245" s="241"/>
      <c r="O245" s="241"/>
      <c r="P245" s="241"/>
      <c r="Q245" s="241"/>
      <c r="R245" s="242"/>
      <c r="S245" s="243"/>
      <c r="T245" s="240"/>
      <c r="U245" s="240"/>
      <c r="V245" s="240"/>
      <c r="W245" s="240"/>
      <c r="X245" s="240"/>
      <c r="Y245" s="240"/>
      <c r="Z245" s="241"/>
      <c r="AA245" s="241"/>
      <c r="AB245" s="241"/>
      <c r="AC245" s="241"/>
      <c r="AD245" s="241"/>
      <c r="AE245" s="241"/>
      <c r="AF245" s="241"/>
      <c r="AG245" s="241"/>
      <c r="AH245" s="241"/>
      <c r="AI245" s="240"/>
    </row>
    <row r="246" spans="3:35" x14ac:dyDescent="0.2">
      <c r="C246" s="240"/>
      <c r="D246" s="240"/>
      <c r="E246" s="240"/>
      <c r="F246" s="240"/>
      <c r="G246" s="240"/>
      <c r="H246" s="240"/>
      <c r="I246" s="240"/>
      <c r="J246" s="240"/>
      <c r="K246" s="240"/>
      <c r="L246" s="240"/>
      <c r="M246" s="241"/>
      <c r="N246" s="241"/>
      <c r="O246" s="241"/>
      <c r="P246" s="241"/>
      <c r="Q246" s="241"/>
      <c r="R246" s="242"/>
      <c r="S246" s="243"/>
      <c r="T246" s="240"/>
      <c r="U246" s="240"/>
      <c r="V246" s="240"/>
      <c r="W246" s="240"/>
      <c r="X246" s="240"/>
      <c r="Y246" s="240"/>
      <c r="Z246" s="241"/>
      <c r="AA246" s="241"/>
      <c r="AB246" s="241"/>
      <c r="AC246" s="241"/>
      <c r="AD246" s="241"/>
      <c r="AE246" s="241"/>
      <c r="AF246" s="241"/>
      <c r="AG246" s="241"/>
      <c r="AH246" s="241"/>
      <c r="AI246" s="240"/>
    </row>
    <row r="247" spans="3:35" x14ac:dyDescent="0.2">
      <c r="C247" s="240"/>
      <c r="D247" s="240"/>
      <c r="E247" s="240"/>
      <c r="F247" s="240"/>
      <c r="G247" s="240"/>
      <c r="H247" s="240"/>
      <c r="I247" s="240"/>
      <c r="J247" s="240"/>
      <c r="K247" s="240"/>
      <c r="L247" s="240"/>
      <c r="M247" s="241"/>
      <c r="N247" s="241"/>
      <c r="O247" s="241"/>
      <c r="P247" s="241"/>
      <c r="Q247" s="241"/>
      <c r="R247" s="242"/>
      <c r="S247" s="243"/>
      <c r="T247" s="240"/>
      <c r="U247" s="240"/>
      <c r="V247" s="240"/>
      <c r="W247" s="240"/>
      <c r="X247" s="240"/>
      <c r="Y247" s="240"/>
      <c r="Z247" s="241"/>
      <c r="AA247" s="241"/>
      <c r="AB247" s="241"/>
      <c r="AC247" s="241"/>
      <c r="AD247" s="241"/>
      <c r="AE247" s="241"/>
      <c r="AF247" s="241"/>
      <c r="AG247" s="241"/>
      <c r="AH247" s="241"/>
      <c r="AI247" s="240"/>
    </row>
    <row r="248" spans="3:35" x14ac:dyDescent="0.2">
      <c r="C248" s="240"/>
      <c r="D248" s="240"/>
      <c r="E248" s="240"/>
      <c r="F248" s="240"/>
      <c r="G248" s="240"/>
      <c r="H248" s="240"/>
      <c r="I248" s="240"/>
      <c r="J248" s="240"/>
      <c r="K248" s="240"/>
      <c r="L248" s="240"/>
      <c r="M248" s="241"/>
      <c r="N248" s="241"/>
      <c r="O248" s="241"/>
      <c r="P248" s="241"/>
      <c r="Q248" s="241"/>
      <c r="R248" s="242"/>
      <c r="S248" s="243"/>
      <c r="T248" s="240"/>
      <c r="U248" s="240"/>
      <c r="V248" s="240"/>
      <c r="W248" s="240"/>
      <c r="X248" s="240"/>
      <c r="Y248" s="240"/>
      <c r="Z248" s="241"/>
      <c r="AA248" s="241"/>
      <c r="AB248" s="241"/>
      <c r="AC248" s="241"/>
      <c r="AD248" s="241"/>
      <c r="AE248" s="241"/>
      <c r="AF248" s="241"/>
      <c r="AG248" s="241"/>
      <c r="AH248" s="241"/>
      <c r="AI248" s="240"/>
    </row>
    <row r="249" spans="3:35" x14ac:dyDescent="0.2">
      <c r="C249" s="240"/>
      <c r="D249" s="240"/>
      <c r="E249" s="240"/>
      <c r="F249" s="240"/>
      <c r="G249" s="240"/>
      <c r="H249" s="240"/>
      <c r="I249" s="240"/>
      <c r="J249" s="240"/>
      <c r="K249" s="240"/>
      <c r="L249" s="240"/>
      <c r="M249" s="241"/>
      <c r="N249" s="241"/>
      <c r="O249" s="241"/>
      <c r="P249" s="241"/>
      <c r="Q249" s="241"/>
      <c r="R249" s="242"/>
      <c r="S249" s="243"/>
      <c r="T249" s="240"/>
      <c r="U249" s="240"/>
      <c r="V249" s="240"/>
      <c r="W249" s="240"/>
      <c r="X249" s="240"/>
      <c r="Y249" s="240"/>
      <c r="Z249" s="241"/>
      <c r="AA249" s="241"/>
      <c r="AB249" s="241"/>
      <c r="AC249" s="241"/>
      <c r="AD249" s="241"/>
      <c r="AE249" s="241"/>
      <c r="AF249" s="241"/>
      <c r="AG249" s="241"/>
      <c r="AH249" s="241"/>
      <c r="AI249" s="240"/>
    </row>
    <row r="250" spans="3:35" x14ac:dyDescent="0.2">
      <c r="C250" s="240"/>
      <c r="D250" s="240"/>
      <c r="E250" s="240"/>
      <c r="F250" s="240"/>
      <c r="G250" s="240"/>
      <c r="H250" s="240"/>
      <c r="I250" s="240"/>
      <c r="J250" s="240"/>
      <c r="K250" s="240"/>
      <c r="L250" s="240"/>
      <c r="M250" s="241"/>
      <c r="N250" s="241"/>
      <c r="O250" s="241"/>
      <c r="P250" s="241"/>
      <c r="Q250" s="241"/>
      <c r="R250" s="242"/>
      <c r="S250" s="243"/>
      <c r="T250" s="240"/>
      <c r="U250" s="240"/>
      <c r="V250" s="240"/>
      <c r="W250" s="240"/>
      <c r="X250" s="240"/>
      <c r="Y250" s="240"/>
      <c r="Z250" s="241"/>
      <c r="AA250" s="241"/>
      <c r="AB250" s="241"/>
      <c r="AC250" s="241"/>
      <c r="AD250" s="241"/>
      <c r="AE250" s="241"/>
      <c r="AF250" s="241"/>
      <c r="AG250" s="241"/>
      <c r="AH250" s="241"/>
      <c r="AI250" s="240"/>
    </row>
    <row r="251" spans="3:35" x14ac:dyDescent="0.2">
      <c r="C251" s="240"/>
      <c r="D251" s="240"/>
      <c r="E251" s="240"/>
      <c r="F251" s="240"/>
      <c r="G251" s="240"/>
      <c r="H251" s="240"/>
      <c r="I251" s="240"/>
      <c r="J251" s="240"/>
      <c r="K251" s="240"/>
      <c r="L251" s="240"/>
      <c r="M251" s="241"/>
      <c r="N251" s="241"/>
      <c r="O251" s="241"/>
      <c r="P251" s="241"/>
      <c r="Q251" s="241"/>
      <c r="R251" s="242"/>
      <c r="S251" s="243"/>
      <c r="T251" s="240"/>
      <c r="U251" s="240"/>
      <c r="V251" s="240"/>
      <c r="W251" s="240"/>
      <c r="X251" s="240"/>
      <c r="Y251" s="240"/>
      <c r="Z251" s="241"/>
      <c r="AA251" s="241"/>
      <c r="AB251" s="241"/>
      <c r="AC251" s="241"/>
      <c r="AD251" s="241"/>
      <c r="AE251" s="241"/>
      <c r="AF251" s="241"/>
      <c r="AG251" s="241"/>
      <c r="AH251" s="241"/>
      <c r="AI251" s="240"/>
    </row>
    <row r="252" spans="3:35" x14ac:dyDescent="0.2">
      <c r="C252" s="240"/>
      <c r="D252" s="240"/>
      <c r="E252" s="240"/>
      <c r="F252" s="240"/>
      <c r="G252" s="240"/>
      <c r="H252" s="240"/>
      <c r="I252" s="240"/>
      <c r="J252" s="240"/>
      <c r="K252" s="240"/>
      <c r="L252" s="240"/>
      <c r="M252" s="241"/>
      <c r="N252" s="241"/>
      <c r="O252" s="241"/>
      <c r="P252" s="241"/>
      <c r="Q252" s="241"/>
      <c r="R252" s="242"/>
      <c r="S252" s="243"/>
      <c r="T252" s="240"/>
      <c r="U252" s="240"/>
      <c r="V252" s="240"/>
      <c r="W252" s="240"/>
      <c r="X252" s="240"/>
      <c r="Y252" s="240"/>
      <c r="Z252" s="241"/>
      <c r="AA252" s="241"/>
      <c r="AB252" s="241"/>
      <c r="AC252" s="241"/>
      <c r="AD252" s="241"/>
      <c r="AE252" s="241"/>
      <c r="AF252" s="241"/>
      <c r="AG252" s="241"/>
      <c r="AH252" s="241"/>
      <c r="AI252" s="240"/>
    </row>
    <row r="253" spans="3:35" x14ac:dyDescent="0.2">
      <c r="C253" s="240"/>
      <c r="D253" s="240"/>
      <c r="E253" s="240"/>
      <c r="F253" s="240"/>
      <c r="G253" s="240"/>
      <c r="H253" s="240"/>
      <c r="I253" s="240"/>
      <c r="J253" s="240"/>
      <c r="K253" s="240"/>
      <c r="L253" s="240"/>
      <c r="M253" s="241"/>
      <c r="N253" s="241"/>
      <c r="O253" s="241"/>
      <c r="P253" s="241"/>
      <c r="Q253" s="241"/>
      <c r="R253" s="242"/>
      <c r="S253" s="243"/>
      <c r="T253" s="240"/>
      <c r="U253" s="240"/>
      <c r="V253" s="240"/>
      <c r="W253" s="240"/>
      <c r="X253" s="240"/>
      <c r="Y253" s="240"/>
      <c r="Z253" s="241"/>
      <c r="AA253" s="241"/>
      <c r="AB253" s="241"/>
      <c r="AC253" s="241"/>
      <c r="AD253" s="241"/>
      <c r="AE253" s="241"/>
      <c r="AF253" s="241"/>
      <c r="AG253" s="241"/>
      <c r="AH253" s="241"/>
      <c r="AI253" s="240"/>
    </row>
    <row r="254" spans="3:35" x14ac:dyDescent="0.2">
      <c r="C254" s="240"/>
      <c r="D254" s="240"/>
      <c r="E254" s="240"/>
      <c r="F254" s="240"/>
      <c r="G254" s="240"/>
      <c r="H254" s="240"/>
      <c r="I254" s="240"/>
      <c r="J254" s="240"/>
      <c r="K254" s="240"/>
      <c r="L254" s="240"/>
      <c r="M254" s="241"/>
      <c r="N254" s="241"/>
      <c r="O254" s="241"/>
      <c r="P254" s="241"/>
      <c r="Q254" s="241"/>
      <c r="R254" s="242"/>
      <c r="S254" s="243"/>
      <c r="T254" s="240"/>
      <c r="U254" s="240"/>
      <c r="V254" s="240"/>
      <c r="W254" s="240"/>
      <c r="X254" s="240"/>
      <c r="Y254" s="240"/>
      <c r="Z254" s="241"/>
      <c r="AA254" s="241"/>
      <c r="AB254" s="241"/>
      <c r="AC254" s="241"/>
      <c r="AD254" s="241"/>
      <c r="AE254" s="241"/>
      <c r="AF254" s="241"/>
      <c r="AG254" s="241"/>
      <c r="AH254" s="241"/>
      <c r="AI254" s="240"/>
    </row>
    <row r="255" spans="3:35" x14ac:dyDescent="0.2">
      <c r="C255" s="240"/>
      <c r="D255" s="240"/>
      <c r="E255" s="240"/>
      <c r="F255" s="240"/>
      <c r="G255" s="240"/>
      <c r="H255" s="240"/>
      <c r="I255" s="240"/>
      <c r="J255" s="240"/>
      <c r="K255" s="240"/>
      <c r="L255" s="240"/>
      <c r="M255" s="241"/>
      <c r="N255" s="241"/>
      <c r="O255" s="241"/>
      <c r="P255" s="241"/>
      <c r="Q255" s="241"/>
      <c r="R255" s="242"/>
      <c r="S255" s="243"/>
      <c r="T255" s="240"/>
      <c r="U255" s="240"/>
      <c r="V255" s="240"/>
      <c r="W255" s="240"/>
      <c r="X255" s="240"/>
      <c r="Y255" s="240"/>
      <c r="Z255" s="241"/>
      <c r="AA255" s="241"/>
      <c r="AB255" s="241"/>
      <c r="AC255" s="241"/>
      <c r="AD255" s="241"/>
      <c r="AE255" s="241"/>
      <c r="AF255" s="241"/>
      <c r="AG255" s="241"/>
      <c r="AH255" s="241"/>
      <c r="AI255" s="240"/>
    </row>
    <row r="256" spans="3:35" x14ac:dyDescent="0.2">
      <c r="C256" s="240"/>
      <c r="D256" s="240"/>
      <c r="E256" s="240"/>
      <c r="F256" s="240"/>
      <c r="G256" s="240"/>
      <c r="H256" s="240"/>
      <c r="I256" s="240"/>
      <c r="J256" s="240"/>
      <c r="K256" s="240"/>
      <c r="L256" s="240"/>
      <c r="M256" s="241"/>
      <c r="N256" s="241"/>
      <c r="O256" s="241"/>
      <c r="P256" s="241"/>
      <c r="Q256" s="241"/>
      <c r="R256" s="242"/>
      <c r="S256" s="243"/>
      <c r="T256" s="240"/>
      <c r="U256" s="240"/>
      <c r="V256" s="240"/>
      <c r="W256" s="240"/>
      <c r="X256" s="240"/>
      <c r="Y256" s="240"/>
      <c r="Z256" s="241"/>
      <c r="AA256" s="241"/>
      <c r="AB256" s="241"/>
      <c r="AC256" s="241"/>
      <c r="AD256" s="241"/>
      <c r="AE256" s="241"/>
      <c r="AF256" s="241"/>
      <c r="AG256" s="241"/>
      <c r="AH256" s="241"/>
      <c r="AI256" s="240"/>
    </row>
    <row r="257" spans="3:35" x14ac:dyDescent="0.2">
      <c r="C257" s="240"/>
      <c r="D257" s="240"/>
      <c r="E257" s="240"/>
      <c r="F257" s="240"/>
      <c r="G257" s="240"/>
      <c r="H257" s="240"/>
      <c r="I257" s="240"/>
      <c r="J257" s="240"/>
      <c r="K257" s="240"/>
      <c r="L257" s="240"/>
      <c r="M257" s="241"/>
      <c r="N257" s="241"/>
      <c r="O257" s="241"/>
      <c r="P257" s="241"/>
      <c r="Q257" s="241"/>
      <c r="R257" s="242"/>
      <c r="S257" s="243"/>
      <c r="T257" s="240"/>
      <c r="U257" s="240"/>
      <c r="V257" s="240"/>
      <c r="W257" s="240"/>
      <c r="X257" s="240"/>
      <c r="Y257" s="240"/>
      <c r="Z257" s="241"/>
      <c r="AA257" s="241"/>
      <c r="AB257" s="241"/>
      <c r="AC257" s="241"/>
      <c r="AD257" s="241"/>
      <c r="AE257" s="241"/>
      <c r="AF257" s="241"/>
      <c r="AG257" s="241"/>
      <c r="AH257" s="241"/>
      <c r="AI257" s="240"/>
    </row>
    <row r="258" spans="3:35" x14ac:dyDescent="0.2">
      <c r="C258" s="240"/>
      <c r="D258" s="240"/>
      <c r="E258" s="240"/>
      <c r="F258" s="240"/>
      <c r="G258" s="240"/>
      <c r="H258" s="240"/>
      <c r="I258" s="240"/>
      <c r="J258" s="240"/>
      <c r="K258" s="240"/>
      <c r="L258" s="240"/>
      <c r="M258" s="241"/>
      <c r="N258" s="241"/>
      <c r="O258" s="241"/>
      <c r="P258" s="241"/>
      <c r="Q258" s="241"/>
      <c r="R258" s="242"/>
      <c r="S258" s="243"/>
      <c r="T258" s="240"/>
      <c r="U258" s="240"/>
      <c r="V258" s="240"/>
      <c r="W258" s="240"/>
      <c r="X258" s="240"/>
      <c r="Y258" s="240"/>
      <c r="Z258" s="241"/>
      <c r="AA258" s="241"/>
      <c r="AB258" s="241"/>
      <c r="AC258" s="241"/>
      <c r="AD258" s="241"/>
      <c r="AE258" s="241"/>
      <c r="AF258" s="241"/>
      <c r="AG258" s="241"/>
      <c r="AH258" s="241"/>
      <c r="AI258" s="240"/>
    </row>
    <row r="259" spans="3:35" x14ac:dyDescent="0.2">
      <c r="C259" s="240"/>
      <c r="D259" s="240"/>
      <c r="E259" s="240"/>
      <c r="F259" s="240"/>
      <c r="G259" s="240"/>
      <c r="H259" s="240"/>
      <c r="I259" s="240"/>
      <c r="J259" s="240"/>
      <c r="K259" s="240"/>
      <c r="L259" s="240"/>
      <c r="M259" s="241"/>
      <c r="N259" s="241"/>
      <c r="O259" s="241"/>
      <c r="P259" s="241"/>
      <c r="Q259" s="241"/>
      <c r="R259" s="242"/>
      <c r="S259" s="243"/>
      <c r="T259" s="240"/>
      <c r="U259" s="240"/>
      <c r="V259" s="240"/>
      <c r="W259" s="240"/>
      <c r="X259" s="240"/>
      <c r="Y259" s="240"/>
      <c r="Z259" s="241"/>
      <c r="AA259" s="241"/>
      <c r="AB259" s="241"/>
      <c r="AC259" s="241"/>
      <c r="AD259" s="241"/>
      <c r="AE259" s="241"/>
      <c r="AF259" s="241"/>
      <c r="AG259" s="241"/>
      <c r="AH259" s="241"/>
      <c r="AI259" s="240"/>
    </row>
    <row r="260" spans="3:35" x14ac:dyDescent="0.2">
      <c r="C260" s="240"/>
      <c r="D260" s="240"/>
      <c r="E260" s="240"/>
      <c r="F260" s="240"/>
      <c r="G260" s="240"/>
      <c r="H260" s="240"/>
      <c r="I260" s="240"/>
      <c r="J260" s="240"/>
      <c r="K260" s="240"/>
      <c r="L260" s="240"/>
      <c r="M260" s="241"/>
      <c r="N260" s="241"/>
      <c r="O260" s="241"/>
      <c r="P260" s="241"/>
      <c r="Q260" s="241"/>
      <c r="R260" s="242"/>
      <c r="S260" s="243"/>
      <c r="T260" s="240"/>
      <c r="U260" s="240"/>
      <c r="V260" s="240"/>
      <c r="W260" s="240"/>
      <c r="X260" s="240"/>
      <c r="Y260" s="240"/>
      <c r="Z260" s="241"/>
      <c r="AA260" s="241"/>
      <c r="AB260" s="241"/>
      <c r="AC260" s="241"/>
      <c r="AD260" s="241"/>
      <c r="AE260" s="241"/>
      <c r="AF260" s="241"/>
      <c r="AG260" s="241"/>
      <c r="AH260" s="241"/>
      <c r="AI260" s="240"/>
    </row>
    <row r="261" spans="3:35" x14ac:dyDescent="0.2">
      <c r="C261" s="240"/>
      <c r="D261" s="240"/>
      <c r="E261" s="240"/>
      <c r="F261" s="240"/>
      <c r="G261" s="240"/>
      <c r="H261" s="240"/>
      <c r="I261" s="240"/>
      <c r="J261" s="240"/>
      <c r="K261" s="240"/>
      <c r="L261" s="240"/>
      <c r="M261" s="241"/>
      <c r="N261" s="241"/>
      <c r="O261" s="241"/>
      <c r="P261" s="241"/>
      <c r="Q261" s="241"/>
      <c r="R261" s="242"/>
      <c r="S261" s="243"/>
      <c r="T261" s="240"/>
      <c r="U261" s="240"/>
      <c r="V261" s="240"/>
      <c r="W261" s="240"/>
      <c r="X261" s="240"/>
      <c r="Y261" s="240"/>
      <c r="Z261" s="241"/>
      <c r="AA261" s="241"/>
      <c r="AB261" s="241"/>
      <c r="AC261" s="241"/>
      <c r="AD261" s="241"/>
      <c r="AE261" s="241"/>
      <c r="AF261" s="241"/>
      <c r="AG261" s="241"/>
      <c r="AH261" s="241"/>
      <c r="AI261" s="240"/>
    </row>
    <row r="262" spans="3:35" x14ac:dyDescent="0.2">
      <c r="C262" s="240"/>
      <c r="D262" s="240"/>
      <c r="E262" s="240"/>
      <c r="F262" s="240"/>
      <c r="G262" s="240"/>
      <c r="H262" s="240"/>
      <c r="I262" s="240"/>
      <c r="J262" s="240"/>
      <c r="K262" s="240"/>
      <c r="L262" s="240"/>
      <c r="M262" s="241"/>
      <c r="N262" s="241"/>
      <c r="O262" s="241"/>
      <c r="P262" s="241"/>
      <c r="Q262" s="241"/>
      <c r="R262" s="242"/>
      <c r="S262" s="243"/>
      <c r="T262" s="240"/>
      <c r="U262" s="240"/>
      <c r="V262" s="240"/>
      <c r="W262" s="240"/>
      <c r="X262" s="240"/>
      <c r="Y262" s="240"/>
      <c r="Z262" s="241"/>
      <c r="AA262" s="241"/>
      <c r="AB262" s="241"/>
      <c r="AC262" s="241"/>
      <c r="AD262" s="241"/>
      <c r="AE262" s="241"/>
      <c r="AF262" s="241"/>
      <c r="AG262" s="241"/>
      <c r="AH262" s="241"/>
      <c r="AI262" s="240"/>
    </row>
    <row r="263" spans="3:35" x14ac:dyDescent="0.2">
      <c r="C263" s="240"/>
      <c r="D263" s="240"/>
      <c r="E263" s="240"/>
      <c r="F263" s="240"/>
      <c r="G263" s="240"/>
      <c r="H263" s="240"/>
      <c r="I263" s="240"/>
      <c r="J263" s="240"/>
      <c r="K263" s="240"/>
      <c r="L263" s="240"/>
      <c r="M263" s="241"/>
      <c r="N263" s="241"/>
      <c r="O263" s="241"/>
      <c r="P263" s="241"/>
      <c r="Q263" s="241"/>
      <c r="R263" s="242"/>
      <c r="S263" s="243"/>
      <c r="T263" s="240"/>
      <c r="U263" s="240"/>
      <c r="V263" s="240"/>
      <c r="W263" s="240"/>
      <c r="X263" s="240"/>
      <c r="Y263" s="240"/>
      <c r="Z263" s="241"/>
      <c r="AA263" s="241"/>
      <c r="AB263" s="241"/>
      <c r="AC263" s="241"/>
      <c r="AD263" s="241"/>
      <c r="AE263" s="241"/>
      <c r="AF263" s="241"/>
      <c r="AG263" s="241"/>
      <c r="AH263" s="241"/>
      <c r="AI263" s="240"/>
    </row>
    <row r="264" spans="3:35" x14ac:dyDescent="0.2">
      <c r="C264" s="240"/>
      <c r="D264" s="240"/>
      <c r="E264" s="240"/>
      <c r="F264" s="240"/>
      <c r="G264" s="240"/>
      <c r="H264" s="240"/>
      <c r="I264" s="240"/>
      <c r="J264" s="240"/>
      <c r="K264" s="240"/>
      <c r="L264" s="240"/>
      <c r="M264" s="241"/>
      <c r="N264" s="241"/>
      <c r="O264" s="241"/>
      <c r="P264" s="241"/>
      <c r="Q264" s="241"/>
      <c r="R264" s="242"/>
      <c r="S264" s="243"/>
      <c r="T264" s="240"/>
      <c r="U264" s="240"/>
      <c r="V264" s="240"/>
      <c r="W264" s="240"/>
      <c r="X264" s="240"/>
      <c r="Y264" s="240"/>
      <c r="Z264" s="241"/>
      <c r="AA264" s="241"/>
      <c r="AB264" s="241"/>
      <c r="AC264" s="241"/>
      <c r="AD264" s="241"/>
      <c r="AE264" s="241"/>
      <c r="AF264" s="241"/>
      <c r="AG264" s="241"/>
      <c r="AH264" s="241"/>
      <c r="AI264" s="240"/>
    </row>
    <row r="265" spans="3:35" x14ac:dyDescent="0.2">
      <c r="C265" s="240"/>
      <c r="D265" s="240"/>
      <c r="E265" s="240"/>
      <c r="F265" s="240"/>
      <c r="G265" s="240"/>
      <c r="H265" s="240"/>
      <c r="I265" s="240"/>
      <c r="J265" s="240"/>
      <c r="K265" s="240"/>
      <c r="L265" s="240"/>
      <c r="M265" s="241"/>
      <c r="N265" s="241"/>
      <c r="O265" s="241"/>
      <c r="P265" s="241"/>
      <c r="Q265" s="241"/>
      <c r="R265" s="242"/>
      <c r="S265" s="243"/>
      <c r="T265" s="240"/>
      <c r="U265" s="240"/>
      <c r="V265" s="240"/>
      <c r="W265" s="240"/>
      <c r="X265" s="240"/>
      <c r="Y265" s="240"/>
      <c r="Z265" s="241"/>
      <c r="AA265" s="241"/>
      <c r="AB265" s="241"/>
      <c r="AC265" s="241"/>
      <c r="AD265" s="241"/>
      <c r="AE265" s="241"/>
      <c r="AF265" s="241"/>
      <c r="AG265" s="241"/>
      <c r="AH265" s="241"/>
      <c r="AI265" s="240"/>
    </row>
    <row r="266" spans="3:35" x14ac:dyDescent="0.2">
      <c r="C266" s="240"/>
      <c r="D266" s="240"/>
      <c r="E266" s="240"/>
      <c r="F266" s="240"/>
      <c r="G266" s="240"/>
      <c r="H266" s="240"/>
      <c r="I266" s="240"/>
      <c r="J266" s="240"/>
      <c r="K266" s="240"/>
      <c r="L266" s="240"/>
      <c r="M266" s="241"/>
      <c r="N266" s="241"/>
      <c r="O266" s="241"/>
      <c r="P266" s="241"/>
      <c r="Q266" s="241"/>
      <c r="R266" s="242"/>
      <c r="S266" s="243"/>
      <c r="T266" s="240"/>
      <c r="U266" s="240"/>
      <c r="V266" s="240"/>
      <c r="W266" s="240"/>
      <c r="X266" s="240"/>
      <c r="Y266" s="240"/>
      <c r="Z266" s="241"/>
      <c r="AA266" s="241"/>
      <c r="AB266" s="241"/>
      <c r="AC266" s="241"/>
      <c r="AD266" s="241"/>
      <c r="AE266" s="241"/>
      <c r="AF266" s="241"/>
      <c r="AG266" s="241"/>
      <c r="AH266" s="241"/>
      <c r="AI266" s="240"/>
    </row>
    <row r="267" spans="3:35" x14ac:dyDescent="0.2">
      <c r="C267" s="240"/>
      <c r="D267" s="240"/>
      <c r="E267" s="240"/>
      <c r="F267" s="240"/>
      <c r="G267" s="240"/>
      <c r="H267" s="240"/>
      <c r="I267" s="240"/>
      <c r="J267" s="240"/>
      <c r="K267" s="240"/>
      <c r="L267" s="240"/>
      <c r="M267" s="241"/>
      <c r="N267" s="241"/>
      <c r="O267" s="241"/>
      <c r="P267" s="241"/>
      <c r="Q267" s="241"/>
      <c r="R267" s="242"/>
      <c r="S267" s="243"/>
      <c r="T267" s="240"/>
      <c r="U267" s="240"/>
      <c r="V267" s="240"/>
      <c r="W267" s="240"/>
      <c r="X267" s="240"/>
      <c r="Y267" s="240"/>
      <c r="Z267" s="241"/>
      <c r="AA267" s="241"/>
      <c r="AB267" s="241"/>
      <c r="AC267" s="241"/>
      <c r="AD267" s="241"/>
      <c r="AE267" s="241"/>
      <c r="AF267" s="241"/>
      <c r="AG267" s="241"/>
      <c r="AH267" s="241"/>
      <c r="AI267" s="240"/>
    </row>
    <row r="268" spans="3:35" x14ac:dyDescent="0.2">
      <c r="C268" s="240"/>
      <c r="D268" s="240"/>
      <c r="E268" s="240"/>
      <c r="F268" s="240"/>
      <c r="G268" s="240"/>
      <c r="H268" s="240"/>
      <c r="I268" s="240"/>
      <c r="J268" s="240"/>
      <c r="K268" s="240"/>
      <c r="L268" s="240"/>
      <c r="M268" s="241"/>
      <c r="N268" s="241"/>
      <c r="O268" s="241"/>
      <c r="P268" s="241"/>
      <c r="Q268" s="241"/>
      <c r="R268" s="242"/>
      <c r="S268" s="243"/>
      <c r="T268" s="240"/>
      <c r="U268" s="240"/>
      <c r="V268" s="240"/>
      <c r="W268" s="240"/>
      <c r="X268" s="240"/>
      <c r="Y268" s="240"/>
      <c r="Z268" s="241"/>
      <c r="AA268" s="241"/>
      <c r="AB268" s="241"/>
      <c r="AC268" s="241"/>
      <c r="AD268" s="241"/>
      <c r="AE268" s="241"/>
      <c r="AF268" s="241"/>
      <c r="AG268" s="241"/>
      <c r="AH268" s="241"/>
      <c r="AI268" s="240"/>
    </row>
    <row r="269" spans="3:35" x14ac:dyDescent="0.2">
      <c r="C269" s="240"/>
      <c r="D269" s="240"/>
      <c r="E269" s="240"/>
      <c r="F269" s="240"/>
      <c r="G269" s="240"/>
      <c r="H269" s="240"/>
      <c r="I269" s="240"/>
      <c r="J269" s="240"/>
      <c r="K269" s="240"/>
      <c r="L269" s="240"/>
      <c r="M269" s="241"/>
      <c r="N269" s="241"/>
      <c r="O269" s="241"/>
      <c r="P269" s="241"/>
      <c r="Q269" s="241"/>
      <c r="R269" s="242"/>
      <c r="S269" s="243"/>
      <c r="T269" s="240"/>
      <c r="U269" s="240"/>
      <c r="V269" s="240"/>
      <c r="W269" s="240"/>
      <c r="X269" s="240"/>
      <c r="Y269" s="240"/>
      <c r="Z269" s="241"/>
      <c r="AA269" s="241"/>
      <c r="AB269" s="241"/>
      <c r="AC269" s="241"/>
      <c r="AD269" s="241"/>
      <c r="AE269" s="241"/>
      <c r="AF269" s="241"/>
      <c r="AG269" s="241"/>
      <c r="AH269" s="241"/>
      <c r="AI269" s="240"/>
    </row>
    <row r="270" spans="3:35" x14ac:dyDescent="0.2">
      <c r="C270" s="240"/>
      <c r="D270" s="240"/>
      <c r="E270" s="240"/>
      <c r="F270" s="240"/>
      <c r="G270" s="240"/>
      <c r="H270" s="240"/>
      <c r="I270" s="240"/>
      <c r="J270" s="240"/>
      <c r="K270" s="240"/>
      <c r="L270" s="240"/>
      <c r="M270" s="241"/>
      <c r="N270" s="241"/>
      <c r="O270" s="241"/>
      <c r="P270" s="241"/>
      <c r="Q270" s="241"/>
      <c r="R270" s="242"/>
      <c r="S270" s="243"/>
      <c r="T270" s="240"/>
      <c r="U270" s="240"/>
      <c r="V270" s="240"/>
      <c r="W270" s="240"/>
      <c r="X270" s="240"/>
      <c r="Y270" s="240"/>
      <c r="Z270" s="241"/>
      <c r="AA270" s="241"/>
      <c r="AB270" s="241"/>
      <c r="AC270" s="241"/>
      <c r="AD270" s="241"/>
      <c r="AE270" s="241"/>
      <c r="AF270" s="241"/>
      <c r="AG270" s="241"/>
      <c r="AH270" s="241"/>
      <c r="AI270" s="240"/>
    </row>
    <row r="271" spans="3:35" x14ac:dyDescent="0.2">
      <c r="C271" s="240"/>
      <c r="D271" s="240"/>
      <c r="E271" s="240"/>
      <c r="F271" s="240"/>
      <c r="G271" s="240"/>
      <c r="H271" s="240"/>
      <c r="I271" s="240"/>
      <c r="J271" s="240"/>
      <c r="K271" s="240"/>
      <c r="L271" s="240"/>
      <c r="M271" s="241"/>
      <c r="N271" s="241"/>
      <c r="O271" s="241"/>
      <c r="P271" s="241"/>
      <c r="Q271" s="241"/>
      <c r="R271" s="242"/>
      <c r="S271" s="243"/>
      <c r="T271" s="240"/>
      <c r="U271" s="240"/>
      <c r="V271" s="240"/>
      <c r="W271" s="240"/>
      <c r="X271" s="240"/>
      <c r="Y271" s="240"/>
      <c r="Z271" s="241"/>
      <c r="AA271" s="241"/>
      <c r="AB271" s="241"/>
      <c r="AC271" s="241"/>
      <c r="AD271" s="241"/>
      <c r="AE271" s="241"/>
      <c r="AF271" s="241"/>
      <c r="AG271" s="241"/>
      <c r="AH271" s="241"/>
      <c r="AI271" s="240"/>
    </row>
    <row r="272" spans="3:35" x14ac:dyDescent="0.2">
      <c r="C272" s="240"/>
      <c r="D272" s="240"/>
      <c r="E272" s="240"/>
      <c r="F272" s="240"/>
      <c r="G272" s="240"/>
      <c r="H272" s="240"/>
      <c r="I272" s="240"/>
      <c r="J272" s="240"/>
      <c r="K272" s="240"/>
      <c r="L272" s="240"/>
      <c r="M272" s="241"/>
      <c r="N272" s="241"/>
      <c r="O272" s="241"/>
      <c r="P272" s="241"/>
      <c r="Q272" s="241"/>
      <c r="R272" s="242"/>
      <c r="S272" s="243"/>
      <c r="T272" s="240"/>
      <c r="U272" s="240"/>
      <c r="V272" s="240"/>
      <c r="W272" s="240"/>
      <c r="X272" s="240"/>
      <c r="Y272" s="240"/>
      <c r="Z272" s="241"/>
      <c r="AA272" s="241"/>
      <c r="AB272" s="241"/>
      <c r="AC272" s="241"/>
      <c r="AD272" s="241"/>
      <c r="AE272" s="241"/>
      <c r="AF272" s="241"/>
      <c r="AG272" s="241"/>
      <c r="AH272" s="241"/>
      <c r="AI272" s="240"/>
    </row>
    <row r="273" spans="3:35" x14ac:dyDescent="0.2">
      <c r="C273" s="240"/>
      <c r="D273" s="240"/>
      <c r="E273" s="240"/>
      <c r="F273" s="240"/>
      <c r="G273" s="240"/>
      <c r="H273" s="240"/>
      <c r="I273" s="240"/>
      <c r="J273" s="240"/>
      <c r="K273" s="240"/>
      <c r="L273" s="240"/>
      <c r="M273" s="241"/>
      <c r="N273" s="241"/>
      <c r="O273" s="241"/>
      <c r="P273" s="241"/>
      <c r="Q273" s="241"/>
      <c r="R273" s="242"/>
      <c r="S273" s="243"/>
      <c r="T273" s="240"/>
      <c r="U273" s="240"/>
      <c r="V273" s="240"/>
      <c r="W273" s="240"/>
      <c r="X273" s="240"/>
      <c r="Y273" s="240"/>
      <c r="Z273" s="241"/>
      <c r="AA273" s="241"/>
      <c r="AB273" s="241"/>
      <c r="AC273" s="241"/>
      <c r="AD273" s="241"/>
      <c r="AE273" s="241"/>
      <c r="AF273" s="241"/>
      <c r="AG273" s="241"/>
      <c r="AH273" s="241"/>
      <c r="AI273" s="240"/>
    </row>
    <row r="274" spans="3:35" x14ac:dyDescent="0.2">
      <c r="C274" s="240"/>
      <c r="D274" s="240"/>
      <c r="E274" s="240"/>
      <c r="F274" s="240"/>
      <c r="G274" s="240"/>
      <c r="H274" s="240"/>
      <c r="I274" s="240"/>
      <c r="J274" s="240"/>
      <c r="K274" s="240"/>
      <c r="L274" s="240"/>
      <c r="M274" s="241"/>
      <c r="N274" s="241"/>
      <c r="O274" s="241"/>
      <c r="P274" s="241"/>
      <c r="Q274" s="241"/>
      <c r="R274" s="242"/>
      <c r="S274" s="243"/>
      <c r="T274" s="240"/>
      <c r="U274" s="240"/>
      <c r="V274" s="240"/>
      <c r="W274" s="240"/>
      <c r="X274" s="240"/>
      <c r="Y274" s="240"/>
      <c r="Z274" s="241"/>
      <c r="AA274" s="241"/>
      <c r="AB274" s="241"/>
      <c r="AC274" s="241"/>
      <c r="AD274" s="241"/>
      <c r="AE274" s="241"/>
      <c r="AF274" s="241"/>
      <c r="AG274" s="241"/>
      <c r="AH274" s="241"/>
      <c r="AI274" s="240"/>
    </row>
    <row r="275" spans="3:35" x14ac:dyDescent="0.2">
      <c r="C275" s="240"/>
      <c r="D275" s="240"/>
      <c r="E275" s="240"/>
      <c r="F275" s="240"/>
      <c r="G275" s="240"/>
      <c r="H275" s="240"/>
      <c r="I275" s="240"/>
      <c r="J275" s="240"/>
      <c r="K275" s="240"/>
      <c r="L275" s="240"/>
      <c r="M275" s="241"/>
      <c r="N275" s="241"/>
      <c r="O275" s="241"/>
      <c r="P275" s="241"/>
      <c r="Q275" s="241"/>
      <c r="R275" s="242"/>
      <c r="S275" s="243"/>
      <c r="T275" s="240"/>
      <c r="U275" s="240"/>
      <c r="V275" s="240"/>
      <c r="W275" s="240"/>
      <c r="X275" s="240"/>
      <c r="Y275" s="240"/>
      <c r="Z275" s="241"/>
      <c r="AA275" s="241"/>
      <c r="AB275" s="241"/>
      <c r="AC275" s="241"/>
      <c r="AD275" s="241"/>
      <c r="AE275" s="241"/>
      <c r="AF275" s="241"/>
      <c r="AG275" s="241"/>
      <c r="AH275" s="241"/>
      <c r="AI275" s="240"/>
    </row>
    <row r="276" spans="3:35" x14ac:dyDescent="0.2">
      <c r="C276" s="240"/>
      <c r="D276" s="240"/>
      <c r="E276" s="240"/>
      <c r="F276" s="240"/>
      <c r="G276" s="240"/>
      <c r="H276" s="240"/>
      <c r="I276" s="240"/>
      <c r="J276" s="240"/>
      <c r="K276" s="240"/>
      <c r="L276" s="240"/>
      <c r="M276" s="241"/>
      <c r="N276" s="241"/>
      <c r="O276" s="241"/>
      <c r="P276" s="241"/>
      <c r="Q276" s="241"/>
      <c r="R276" s="242"/>
      <c r="S276" s="243"/>
      <c r="T276" s="240"/>
      <c r="U276" s="240"/>
      <c r="V276" s="240"/>
      <c r="W276" s="240"/>
      <c r="X276" s="240"/>
      <c r="Y276" s="240"/>
      <c r="Z276" s="241"/>
      <c r="AA276" s="241"/>
      <c r="AB276" s="241"/>
      <c r="AC276" s="241"/>
      <c r="AD276" s="241"/>
      <c r="AE276" s="241"/>
      <c r="AF276" s="241"/>
      <c r="AG276" s="241"/>
      <c r="AH276" s="241"/>
      <c r="AI276" s="240"/>
    </row>
    <row r="277" spans="3:35" x14ac:dyDescent="0.2">
      <c r="C277" s="240"/>
      <c r="D277" s="240"/>
      <c r="E277" s="240"/>
      <c r="F277" s="240"/>
      <c r="G277" s="240"/>
      <c r="H277" s="240"/>
      <c r="I277" s="240"/>
      <c r="J277" s="240"/>
      <c r="K277" s="240"/>
      <c r="L277" s="240"/>
      <c r="M277" s="241"/>
      <c r="N277" s="241"/>
      <c r="O277" s="241"/>
      <c r="P277" s="241"/>
      <c r="Q277" s="241"/>
      <c r="R277" s="242"/>
      <c r="S277" s="243"/>
      <c r="T277" s="240"/>
      <c r="U277" s="240"/>
      <c r="V277" s="240"/>
      <c r="W277" s="240"/>
      <c r="X277" s="240"/>
      <c r="Y277" s="240"/>
      <c r="Z277" s="241"/>
      <c r="AA277" s="241"/>
      <c r="AB277" s="241"/>
      <c r="AC277" s="241"/>
      <c r="AD277" s="241"/>
      <c r="AE277" s="241"/>
      <c r="AF277" s="241"/>
      <c r="AG277" s="241"/>
      <c r="AH277" s="241"/>
      <c r="AI277" s="240"/>
    </row>
    <row r="278" spans="3:35" x14ac:dyDescent="0.2">
      <c r="C278" s="240"/>
      <c r="D278" s="240"/>
      <c r="E278" s="240"/>
      <c r="F278" s="240"/>
      <c r="G278" s="240"/>
      <c r="H278" s="240"/>
      <c r="I278" s="240"/>
      <c r="J278" s="240"/>
      <c r="K278" s="240"/>
      <c r="L278" s="240"/>
      <c r="M278" s="241"/>
      <c r="N278" s="241"/>
      <c r="O278" s="241"/>
      <c r="P278" s="241"/>
      <c r="Q278" s="241"/>
      <c r="R278" s="242"/>
      <c r="S278" s="243"/>
      <c r="T278" s="240"/>
      <c r="U278" s="240"/>
      <c r="V278" s="240"/>
      <c r="W278" s="240"/>
      <c r="X278" s="240"/>
      <c r="Y278" s="240"/>
      <c r="Z278" s="241"/>
      <c r="AA278" s="241"/>
      <c r="AB278" s="241"/>
      <c r="AC278" s="241"/>
      <c r="AD278" s="241"/>
      <c r="AE278" s="241"/>
      <c r="AF278" s="241"/>
      <c r="AG278" s="241"/>
      <c r="AH278" s="241"/>
      <c r="AI278" s="240"/>
    </row>
    <row r="279" spans="3:35" x14ac:dyDescent="0.2">
      <c r="C279" s="240"/>
      <c r="D279" s="240"/>
      <c r="E279" s="240"/>
      <c r="F279" s="240"/>
      <c r="G279" s="240"/>
      <c r="H279" s="240"/>
      <c r="I279" s="240"/>
      <c r="J279" s="240"/>
      <c r="K279" s="240"/>
      <c r="L279" s="240"/>
      <c r="M279" s="241"/>
      <c r="N279" s="241"/>
      <c r="O279" s="241"/>
      <c r="P279" s="241"/>
      <c r="Q279" s="241"/>
      <c r="R279" s="242"/>
      <c r="S279" s="243"/>
      <c r="T279" s="240"/>
      <c r="U279" s="240"/>
      <c r="V279" s="240"/>
      <c r="W279" s="240"/>
      <c r="X279" s="240"/>
      <c r="Y279" s="240"/>
      <c r="Z279" s="241"/>
      <c r="AA279" s="241"/>
      <c r="AB279" s="241"/>
      <c r="AC279" s="241"/>
      <c r="AD279" s="241"/>
      <c r="AE279" s="241"/>
      <c r="AF279" s="241"/>
      <c r="AG279" s="241"/>
      <c r="AH279" s="241"/>
      <c r="AI279" s="240"/>
    </row>
    <row r="280" spans="3:35" x14ac:dyDescent="0.2">
      <c r="C280" s="240"/>
      <c r="D280" s="240"/>
      <c r="E280" s="240"/>
      <c r="F280" s="240"/>
      <c r="G280" s="240"/>
      <c r="H280" s="240"/>
      <c r="I280" s="240"/>
      <c r="J280" s="240"/>
      <c r="K280" s="240"/>
      <c r="L280" s="240"/>
      <c r="M280" s="241"/>
      <c r="N280" s="241"/>
      <c r="O280" s="241"/>
      <c r="P280" s="241"/>
      <c r="Q280" s="241"/>
      <c r="R280" s="242"/>
      <c r="S280" s="243"/>
      <c r="T280" s="240"/>
      <c r="U280" s="240"/>
      <c r="V280" s="240"/>
      <c r="W280" s="240"/>
      <c r="X280" s="240"/>
      <c r="Y280" s="240"/>
      <c r="Z280" s="241"/>
      <c r="AA280" s="241"/>
      <c r="AB280" s="241"/>
      <c r="AC280" s="241"/>
      <c r="AD280" s="241"/>
      <c r="AE280" s="241"/>
      <c r="AF280" s="241"/>
      <c r="AG280" s="241"/>
      <c r="AH280" s="241"/>
      <c r="AI280" s="240"/>
    </row>
    <row r="281" spans="3:35" x14ac:dyDescent="0.2">
      <c r="C281" s="240"/>
      <c r="D281" s="240"/>
      <c r="E281" s="240"/>
      <c r="F281" s="240"/>
      <c r="G281" s="240"/>
      <c r="H281" s="240"/>
      <c r="I281" s="240"/>
      <c r="J281" s="240"/>
      <c r="K281" s="240"/>
      <c r="L281" s="240"/>
      <c r="M281" s="241"/>
      <c r="N281" s="241"/>
      <c r="O281" s="241"/>
      <c r="P281" s="241"/>
      <c r="Q281" s="241"/>
      <c r="R281" s="242"/>
      <c r="S281" s="243"/>
      <c r="T281" s="240"/>
      <c r="U281" s="240"/>
      <c r="V281" s="240"/>
      <c r="W281" s="240"/>
      <c r="X281" s="240"/>
      <c r="Y281" s="240"/>
      <c r="Z281" s="241"/>
      <c r="AA281" s="241"/>
      <c r="AB281" s="241"/>
      <c r="AC281" s="241"/>
      <c r="AD281" s="241"/>
      <c r="AE281" s="241"/>
      <c r="AF281" s="241"/>
      <c r="AG281" s="241"/>
      <c r="AH281" s="241"/>
      <c r="AI281" s="240"/>
    </row>
    <row r="282" spans="3:35" x14ac:dyDescent="0.2">
      <c r="C282" s="240"/>
      <c r="D282" s="240"/>
      <c r="E282" s="240"/>
      <c r="F282" s="240"/>
      <c r="G282" s="240"/>
      <c r="H282" s="240"/>
      <c r="I282" s="240"/>
      <c r="J282" s="240"/>
      <c r="K282" s="240"/>
      <c r="L282" s="240"/>
      <c r="M282" s="241"/>
      <c r="N282" s="241"/>
      <c r="O282" s="241"/>
      <c r="P282" s="241"/>
      <c r="Q282" s="241"/>
      <c r="R282" s="242"/>
      <c r="S282" s="243"/>
      <c r="T282" s="240"/>
      <c r="U282" s="240"/>
      <c r="V282" s="240"/>
      <c r="W282" s="240"/>
      <c r="X282" s="240"/>
      <c r="Y282" s="240"/>
      <c r="Z282" s="241"/>
      <c r="AA282" s="241"/>
      <c r="AB282" s="241"/>
      <c r="AC282" s="241"/>
      <c r="AD282" s="241"/>
      <c r="AE282" s="241"/>
      <c r="AF282" s="241"/>
      <c r="AG282" s="241"/>
      <c r="AH282" s="241"/>
      <c r="AI282" s="240"/>
    </row>
    <row r="283" spans="3:35" x14ac:dyDescent="0.2">
      <c r="C283" s="240"/>
      <c r="D283" s="240"/>
      <c r="E283" s="240"/>
      <c r="F283" s="240"/>
      <c r="G283" s="240"/>
      <c r="H283" s="240"/>
      <c r="I283" s="240"/>
      <c r="J283" s="240"/>
      <c r="K283" s="240"/>
      <c r="L283" s="240"/>
      <c r="M283" s="241"/>
      <c r="N283" s="241"/>
      <c r="O283" s="241"/>
      <c r="P283" s="241"/>
      <c r="Q283" s="241"/>
      <c r="R283" s="242"/>
      <c r="S283" s="243"/>
      <c r="T283" s="240"/>
      <c r="U283" s="240"/>
      <c r="V283" s="240"/>
      <c r="W283" s="240"/>
      <c r="X283" s="240"/>
      <c r="Y283" s="240"/>
      <c r="Z283" s="241"/>
      <c r="AA283" s="241"/>
      <c r="AB283" s="241"/>
      <c r="AC283" s="241"/>
      <c r="AD283" s="241"/>
      <c r="AE283" s="241"/>
      <c r="AF283" s="241"/>
      <c r="AG283" s="241"/>
      <c r="AH283" s="241"/>
      <c r="AI283" s="240"/>
    </row>
    <row r="284" spans="3:35" x14ac:dyDescent="0.2">
      <c r="C284" s="240"/>
      <c r="D284" s="240"/>
      <c r="E284" s="240"/>
      <c r="F284" s="240"/>
      <c r="G284" s="240"/>
      <c r="H284" s="240"/>
      <c r="I284" s="240"/>
      <c r="J284" s="240"/>
      <c r="K284" s="240"/>
      <c r="L284" s="240"/>
      <c r="M284" s="241"/>
      <c r="N284" s="241"/>
      <c r="O284" s="241"/>
      <c r="P284" s="241"/>
      <c r="Q284" s="241"/>
      <c r="R284" s="242"/>
      <c r="S284" s="243"/>
      <c r="T284" s="240"/>
      <c r="U284" s="240"/>
      <c r="V284" s="240"/>
      <c r="W284" s="240"/>
      <c r="X284" s="240"/>
      <c r="Y284" s="240"/>
      <c r="Z284" s="241"/>
      <c r="AA284" s="241"/>
      <c r="AB284" s="241"/>
      <c r="AC284" s="241"/>
      <c r="AD284" s="241"/>
      <c r="AE284" s="241"/>
      <c r="AF284" s="241"/>
      <c r="AG284" s="241"/>
      <c r="AH284" s="241"/>
      <c r="AI284" s="240"/>
    </row>
    <row r="285" spans="3:35" x14ac:dyDescent="0.2">
      <c r="C285" s="240"/>
      <c r="D285" s="240"/>
      <c r="E285" s="240"/>
      <c r="F285" s="240"/>
      <c r="G285" s="240"/>
      <c r="H285" s="240"/>
      <c r="I285" s="240"/>
      <c r="J285" s="240"/>
      <c r="K285" s="240"/>
      <c r="L285" s="240"/>
      <c r="M285" s="241"/>
      <c r="N285" s="241"/>
      <c r="O285" s="241"/>
      <c r="P285" s="241"/>
      <c r="Q285" s="241"/>
      <c r="R285" s="242"/>
      <c r="S285" s="243"/>
      <c r="T285" s="240"/>
      <c r="U285" s="240"/>
      <c r="V285" s="240"/>
      <c r="W285" s="240"/>
      <c r="X285" s="240"/>
      <c r="Y285" s="240"/>
      <c r="Z285" s="241"/>
      <c r="AA285" s="241"/>
      <c r="AB285" s="241"/>
      <c r="AC285" s="241"/>
      <c r="AD285" s="241"/>
      <c r="AE285" s="241"/>
      <c r="AF285" s="241"/>
      <c r="AG285" s="241"/>
      <c r="AH285" s="241"/>
      <c r="AI285" s="240"/>
    </row>
    <row r="286" spans="3:35" x14ac:dyDescent="0.2">
      <c r="C286" s="240"/>
      <c r="D286" s="240"/>
      <c r="E286" s="240"/>
      <c r="F286" s="240"/>
      <c r="G286" s="240"/>
      <c r="H286" s="240"/>
      <c r="I286" s="240"/>
      <c r="J286" s="240"/>
      <c r="K286" s="240"/>
      <c r="L286" s="240"/>
      <c r="M286" s="241"/>
      <c r="N286" s="241"/>
      <c r="O286" s="241"/>
      <c r="P286" s="241"/>
      <c r="Q286" s="241"/>
      <c r="R286" s="242"/>
      <c r="S286" s="243"/>
      <c r="T286" s="240"/>
      <c r="U286" s="240"/>
      <c r="V286" s="240"/>
      <c r="W286" s="240"/>
      <c r="X286" s="240"/>
      <c r="Y286" s="240"/>
      <c r="Z286" s="241"/>
      <c r="AA286" s="241"/>
      <c r="AB286" s="241"/>
      <c r="AC286" s="241"/>
      <c r="AD286" s="241"/>
      <c r="AE286" s="241"/>
      <c r="AF286" s="241"/>
      <c r="AG286" s="241"/>
      <c r="AH286" s="241"/>
      <c r="AI286" s="240"/>
    </row>
    <row r="287" spans="3:35" x14ac:dyDescent="0.2">
      <c r="C287" s="240"/>
      <c r="D287" s="240"/>
      <c r="E287" s="240"/>
      <c r="F287" s="240"/>
      <c r="G287" s="240"/>
      <c r="H287" s="240"/>
      <c r="I287" s="240"/>
      <c r="J287" s="240"/>
      <c r="K287" s="240"/>
      <c r="L287" s="240"/>
      <c r="M287" s="241"/>
      <c r="N287" s="241"/>
      <c r="O287" s="241"/>
      <c r="P287" s="241"/>
      <c r="Q287" s="241"/>
      <c r="R287" s="242"/>
      <c r="S287" s="243"/>
      <c r="T287" s="240"/>
      <c r="U287" s="240"/>
      <c r="V287" s="240"/>
      <c r="W287" s="240"/>
      <c r="X287" s="240"/>
      <c r="Y287" s="240"/>
      <c r="Z287" s="241"/>
      <c r="AA287" s="241"/>
      <c r="AB287" s="241"/>
      <c r="AC287" s="241"/>
      <c r="AD287" s="241"/>
      <c r="AE287" s="241"/>
      <c r="AF287" s="241"/>
      <c r="AG287" s="241"/>
      <c r="AH287" s="241"/>
      <c r="AI287" s="240"/>
    </row>
    <row r="288" spans="3:35" x14ac:dyDescent="0.2">
      <c r="C288" s="240"/>
      <c r="D288" s="240"/>
      <c r="E288" s="240"/>
      <c r="F288" s="240"/>
      <c r="G288" s="240"/>
      <c r="H288" s="240"/>
      <c r="I288" s="240"/>
      <c r="J288" s="240"/>
      <c r="K288" s="240"/>
      <c r="L288" s="240"/>
      <c r="M288" s="241"/>
      <c r="N288" s="241"/>
      <c r="O288" s="241"/>
      <c r="P288" s="241"/>
      <c r="Q288" s="241"/>
      <c r="R288" s="242"/>
      <c r="S288" s="243"/>
      <c r="T288" s="240"/>
      <c r="U288" s="240"/>
      <c r="V288" s="240"/>
      <c r="W288" s="240"/>
      <c r="X288" s="240"/>
      <c r="Y288" s="240"/>
      <c r="Z288" s="241"/>
      <c r="AA288" s="241"/>
      <c r="AB288" s="241"/>
      <c r="AC288" s="241"/>
      <c r="AD288" s="241"/>
      <c r="AE288" s="241"/>
      <c r="AF288" s="241"/>
      <c r="AG288" s="241"/>
      <c r="AH288" s="241"/>
      <c r="AI288" s="240"/>
    </row>
    <row r="289" spans="3:35" x14ac:dyDescent="0.2">
      <c r="C289" s="240"/>
      <c r="D289" s="240"/>
      <c r="E289" s="240"/>
      <c r="F289" s="240"/>
      <c r="G289" s="240"/>
      <c r="H289" s="240"/>
      <c r="I289" s="240"/>
      <c r="J289" s="240"/>
      <c r="K289" s="240"/>
      <c r="L289" s="240"/>
      <c r="M289" s="241"/>
      <c r="N289" s="241"/>
      <c r="O289" s="241"/>
      <c r="P289" s="241"/>
      <c r="Q289" s="241"/>
      <c r="R289" s="242"/>
      <c r="S289" s="243"/>
      <c r="T289" s="240"/>
      <c r="U289" s="240"/>
      <c r="V289" s="240"/>
      <c r="W289" s="240"/>
      <c r="X289" s="240"/>
      <c r="Y289" s="240"/>
      <c r="Z289" s="241"/>
      <c r="AA289" s="241"/>
      <c r="AB289" s="241"/>
      <c r="AC289" s="241"/>
      <c r="AD289" s="241"/>
      <c r="AE289" s="241"/>
      <c r="AF289" s="241"/>
      <c r="AG289" s="241"/>
      <c r="AH289" s="241"/>
      <c r="AI289" s="240"/>
    </row>
    <row r="290" spans="3:35" x14ac:dyDescent="0.2">
      <c r="C290" s="240"/>
      <c r="D290" s="240"/>
      <c r="E290" s="240"/>
      <c r="F290" s="240"/>
      <c r="G290" s="240"/>
      <c r="H290" s="240"/>
      <c r="I290" s="240"/>
      <c r="J290" s="240"/>
      <c r="K290" s="240"/>
      <c r="L290" s="240"/>
      <c r="M290" s="241"/>
      <c r="N290" s="241"/>
      <c r="O290" s="241"/>
      <c r="P290" s="241"/>
      <c r="Q290" s="241"/>
      <c r="R290" s="242"/>
      <c r="S290" s="243"/>
      <c r="T290" s="240"/>
      <c r="U290" s="240"/>
      <c r="V290" s="240"/>
      <c r="W290" s="240"/>
      <c r="X290" s="240"/>
      <c r="Y290" s="240"/>
      <c r="Z290" s="241"/>
      <c r="AA290" s="241"/>
      <c r="AB290" s="241"/>
      <c r="AC290" s="241"/>
      <c r="AD290" s="241"/>
      <c r="AE290" s="241"/>
      <c r="AF290" s="241"/>
      <c r="AG290" s="241"/>
      <c r="AH290" s="241"/>
      <c r="AI290" s="240"/>
    </row>
    <row r="291" spans="3:35" x14ac:dyDescent="0.2">
      <c r="C291" s="240"/>
      <c r="D291" s="240"/>
      <c r="E291" s="240"/>
      <c r="F291" s="240"/>
      <c r="G291" s="240"/>
      <c r="H291" s="240"/>
      <c r="I291" s="240"/>
      <c r="J291" s="240"/>
      <c r="K291" s="240"/>
      <c r="L291" s="240"/>
      <c r="M291" s="241"/>
      <c r="N291" s="241"/>
      <c r="O291" s="241"/>
      <c r="P291" s="241"/>
      <c r="Q291" s="241"/>
      <c r="R291" s="242"/>
      <c r="S291" s="243"/>
      <c r="T291" s="240"/>
      <c r="U291" s="240"/>
      <c r="V291" s="240"/>
      <c r="W291" s="240"/>
      <c r="X291" s="240"/>
      <c r="Y291" s="240"/>
      <c r="Z291" s="241"/>
      <c r="AA291" s="241"/>
      <c r="AB291" s="241"/>
      <c r="AC291" s="241"/>
      <c r="AD291" s="241"/>
      <c r="AE291" s="241"/>
      <c r="AF291" s="241"/>
      <c r="AG291" s="241"/>
      <c r="AH291" s="241"/>
      <c r="AI291" s="240"/>
    </row>
    <row r="292" spans="3:35" x14ac:dyDescent="0.2">
      <c r="C292" s="240"/>
      <c r="D292" s="240"/>
      <c r="E292" s="240"/>
      <c r="F292" s="240"/>
      <c r="G292" s="240"/>
      <c r="H292" s="240"/>
      <c r="I292" s="240"/>
      <c r="J292" s="240"/>
      <c r="K292" s="240"/>
      <c r="L292" s="240"/>
      <c r="M292" s="241"/>
      <c r="N292" s="241"/>
      <c r="O292" s="241"/>
      <c r="P292" s="241"/>
      <c r="Q292" s="241"/>
      <c r="R292" s="242"/>
      <c r="S292" s="243"/>
      <c r="T292" s="240"/>
      <c r="U292" s="240"/>
      <c r="V292" s="240"/>
      <c r="W292" s="240"/>
      <c r="X292" s="240"/>
      <c r="Y292" s="240"/>
      <c r="Z292" s="241"/>
      <c r="AA292" s="241"/>
      <c r="AB292" s="241"/>
      <c r="AC292" s="241"/>
      <c r="AD292" s="241"/>
      <c r="AE292" s="241"/>
      <c r="AF292" s="241"/>
      <c r="AG292" s="241"/>
      <c r="AH292" s="241"/>
      <c r="AI292" s="240"/>
    </row>
    <row r="293" spans="3:35" x14ac:dyDescent="0.2">
      <c r="C293" s="240"/>
      <c r="D293" s="240"/>
      <c r="E293" s="240"/>
      <c r="F293" s="240"/>
      <c r="G293" s="240"/>
      <c r="H293" s="240"/>
      <c r="I293" s="240"/>
      <c r="J293" s="240"/>
      <c r="K293" s="240"/>
      <c r="L293" s="240"/>
      <c r="M293" s="241"/>
      <c r="N293" s="241"/>
      <c r="O293" s="241"/>
      <c r="P293" s="241"/>
      <c r="Q293" s="241"/>
      <c r="R293" s="242"/>
      <c r="S293" s="243"/>
      <c r="T293" s="240"/>
      <c r="U293" s="240"/>
      <c r="V293" s="240"/>
      <c r="W293" s="240"/>
      <c r="X293" s="240"/>
      <c r="Y293" s="240"/>
      <c r="Z293" s="241"/>
      <c r="AA293" s="241"/>
      <c r="AB293" s="241"/>
      <c r="AC293" s="241"/>
      <c r="AD293" s="241"/>
      <c r="AE293" s="241"/>
      <c r="AF293" s="241"/>
      <c r="AG293" s="241"/>
      <c r="AH293" s="241"/>
      <c r="AI293" s="240"/>
    </row>
    <row r="294" spans="3:35" x14ac:dyDescent="0.2">
      <c r="C294" s="240"/>
      <c r="D294" s="240"/>
      <c r="E294" s="240"/>
      <c r="F294" s="240"/>
      <c r="G294" s="240"/>
      <c r="H294" s="240"/>
      <c r="I294" s="240"/>
      <c r="J294" s="240"/>
      <c r="K294" s="240"/>
      <c r="L294" s="240"/>
      <c r="M294" s="241"/>
      <c r="N294" s="241"/>
      <c r="O294" s="241"/>
      <c r="P294" s="241"/>
      <c r="Q294" s="241"/>
      <c r="R294" s="242"/>
      <c r="S294" s="243"/>
      <c r="T294" s="240"/>
      <c r="U294" s="240"/>
      <c r="V294" s="240"/>
      <c r="W294" s="240"/>
      <c r="X294" s="240"/>
      <c r="Y294" s="240"/>
      <c r="Z294" s="241"/>
      <c r="AA294" s="241"/>
      <c r="AB294" s="241"/>
      <c r="AC294" s="241"/>
      <c r="AD294" s="241"/>
      <c r="AE294" s="241"/>
      <c r="AF294" s="241"/>
      <c r="AG294" s="241"/>
      <c r="AH294" s="241"/>
      <c r="AI294" s="240"/>
    </row>
    <row r="295" spans="3:35" x14ac:dyDescent="0.2">
      <c r="C295" s="240"/>
      <c r="D295" s="240"/>
      <c r="E295" s="240"/>
      <c r="F295" s="240"/>
      <c r="G295" s="240"/>
      <c r="H295" s="240"/>
      <c r="I295" s="240"/>
      <c r="J295" s="240"/>
      <c r="K295" s="240"/>
      <c r="L295" s="240"/>
      <c r="M295" s="241"/>
      <c r="N295" s="241"/>
      <c r="O295" s="241"/>
      <c r="P295" s="241"/>
      <c r="Q295" s="241"/>
      <c r="R295" s="242"/>
      <c r="S295" s="243"/>
      <c r="T295" s="240"/>
      <c r="U295" s="240"/>
      <c r="V295" s="240"/>
      <c r="W295" s="240"/>
      <c r="X295" s="240"/>
      <c r="Y295" s="240"/>
      <c r="Z295" s="241"/>
      <c r="AA295" s="241"/>
      <c r="AB295" s="241"/>
      <c r="AC295" s="241"/>
      <c r="AD295" s="241"/>
      <c r="AE295" s="241"/>
      <c r="AF295" s="241"/>
      <c r="AG295" s="241"/>
      <c r="AH295" s="241"/>
      <c r="AI295" s="240"/>
    </row>
    <row r="296" spans="3:35" x14ac:dyDescent="0.2">
      <c r="C296" s="240"/>
      <c r="D296" s="240"/>
      <c r="E296" s="240"/>
      <c r="F296" s="240"/>
      <c r="G296" s="240"/>
      <c r="H296" s="240"/>
      <c r="I296" s="240"/>
      <c r="J296" s="240"/>
      <c r="K296" s="240"/>
      <c r="L296" s="240"/>
      <c r="M296" s="241"/>
      <c r="N296" s="241"/>
      <c r="O296" s="241"/>
      <c r="P296" s="241"/>
      <c r="Q296" s="241"/>
      <c r="R296" s="242"/>
      <c r="S296" s="243"/>
      <c r="T296" s="240"/>
      <c r="U296" s="240"/>
      <c r="V296" s="240"/>
      <c r="W296" s="240"/>
      <c r="X296" s="240"/>
      <c r="Y296" s="240"/>
      <c r="Z296" s="241"/>
      <c r="AA296" s="241"/>
      <c r="AB296" s="241"/>
      <c r="AC296" s="241"/>
      <c r="AD296" s="241"/>
      <c r="AE296" s="241"/>
      <c r="AF296" s="241"/>
      <c r="AG296" s="241"/>
      <c r="AH296" s="241"/>
      <c r="AI296" s="240"/>
    </row>
    <row r="297" spans="3:35" x14ac:dyDescent="0.2">
      <c r="C297" s="240"/>
      <c r="D297" s="240"/>
      <c r="E297" s="240"/>
      <c r="F297" s="240"/>
      <c r="G297" s="240"/>
      <c r="H297" s="240"/>
      <c r="I297" s="240"/>
      <c r="J297" s="240"/>
      <c r="K297" s="240"/>
      <c r="L297" s="240"/>
      <c r="M297" s="241"/>
      <c r="N297" s="241"/>
      <c r="O297" s="241"/>
      <c r="P297" s="241"/>
      <c r="Q297" s="241"/>
      <c r="R297" s="242"/>
      <c r="S297" s="243"/>
      <c r="T297" s="240"/>
      <c r="U297" s="240"/>
      <c r="V297" s="240"/>
      <c r="W297" s="240"/>
      <c r="X297" s="240"/>
      <c r="Y297" s="240"/>
      <c r="Z297" s="241"/>
      <c r="AA297" s="241"/>
      <c r="AB297" s="241"/>
      <c r="AC297" s="241"/>
      <c r="AD297" s="241"/>
      <c r="AE297" s="241"/>
      <c r="AF297" s="241"/>
      <c r="AG297" s="241"/>
      <c r="AH297" s="241"/>
      <c r="AI297" s="240"/>
    </row>
    <row r="298" spans="3:35" x14ac:dyDescent="0.2">
      <c r="C298" s="240"/>
      <c r="D298" s="240"/>
      <c r="E298" s="240"/>
      <c r="F298" s="240"/>
      <c r="G298" s="240"/>
      <c r="H298" s="240"/>
      <c r="I298" s="240"/>
      <c r="J298" s="240"/>
      <c r="K298" s="240"/>
      <c r="L298" s="240"/>
      <c r="M298" s="241"/>
      <c r="N298" s="241"/>
      <c r="O298" s="241"/>
      <c r="P298" s="241"/>
      <c r="Q298" s="241"/>
      <c r="R298" s="242"/>
      <c r="S298" s="243"/>
      <c r="T298" s="240"/>
      <c r="U298" s="240"/>
      <c r="V298" s="240"/>
      <c r="W298" s="240"/>
      <c r="X298" s="240"/>
      <c r="Y298" s="240"/>
      <c r="Z298" s="241"/>
      <c r="AA298" s="241"/>
      <c r="AB298" s="241"/>
      <c r="AC298" s="241"/>
      <c r="AD298" s="241"/>
      <c r="AE298" s="241"/>
      <c r="AF298" s="241"/>
      <c r="AG298" s="241"/>
      <c r="AH298" s="241"/>
      <c r="AI298" s="240"/>
    </row>
    <row r="299" spans="3:35" x14ac:dyDescent="0.2">
      <c r="C299" s="240"/>
      <c r="D299" s="240"/>
      <c r="E299" s="240"/>
      <c r="F299" s="240"/>
      <c r="G299" s="240"/>
      <c r="H299" s="240"/>
      <c r="I299" s="240"/>
      <c r="J299" s="240"/>
      <c r="K299" s="240"/>
      <c r="L299" s="240"/>
      <c r="M299" s="241"/>
      <c r="N299" s="241"/>
      <c r="O299" s="241"/>
      <c r="P299" s="241"/>
      <c r="Q299" s="241"/>
      <c r="R299" s="242"/>
      <c r="S299" s="243"/>
      <c r="T299" s="240"/>
      <c r="U299" s="240"/>
      <c r="V299" s="240"/>
      <c r="W299" s="240"/>
      <c r="X299" s="240"/>
      <c r="Y299" s="240"/>
      <c r="Z299" s="241"/>
      <c r="AA299" s="241"/>
      <c r="AB299" s="241"/>
      <c r="AC299" s="241"/>
      <c r="AD299" s="241"/>
      <c r="AE299" s="241"/>
      <c r="AF299" s="241"/>
      <c r="AG299" s="241"/>
      <c r="AH299" s="241"/>
      <c r="AI299" s="240"/>
    </row>
    <row r="300" spans="3:35" x14ac:dyDescent="0.2">
      <c r="C300" s="240"/>
      <c r="D300" s="240"/>
      <c r="E300" s="240"/>
      <c r="F300" s="240"/>
      <c r="G300" s="240"/>
      <c r="H300" s="240"/>
      <c r="I300" s="240"/>
      <c r="J300" s="240"/>
      <c r="K300" s="240"/>
      <c r="L300" s="240"/>
      <c r="M300" s="241"/>
      <c r="N300" s="241"/>
      <c r="O300" s="241"/>
      <c r="P300" s="241"/>
      <c r="Q300" s="241"/>
      <c r="R300" s="242"/>
      <c r="S300" s="243"/>
      <c r="T300" s="240"/>
      <c r="U300" s="240"/>
      <c r="V300" s="240"/>
      <c r="W300" s="240"/>
      <c r="X300" s="240"/>
      <c r="Y300" s="240"/>
      <c r="Z300" s="241"/>
      <c r="AA300" s="241"/>
      <c r="AB300" s="241"/>
      <c r="AC300" s="241"/>
      <c r="AD300" s="241"/>
      <c r="AE300" s="241"/>
      <c r="AF300" s="241"/>
      <c r="AG300" s="241"/>
      <c r="AH300" s="241"/>
      <c r="AI300" s="240"/>
    </row>
    <row r="301" spans="3:35" x14ac:dyDescent="0.2">
      <c r="C301" s="240"/>
      <c r="D301" s="240"/>
      <c r="E301" s="240"/>
      <c r="F301" s="240"/>
      <c r="G301" s="240"/>
      <c r="H301" s="240"/>
      <c r="I301" s="240"/>
      <c r="J301" s="240"/>
      <c r="K301" s="240"/>
      <c r="L301" s="240"/>
      <c r="M301" s="241"/>
      <c r="N301" s="241"/>
      <c r="O301" s="241"/>
      <c r="P301" s="241"/>
      <c r="Q301" s="241"/>
      <c r="R301" s="242"/>
      <c r="S301" s="243"/>
      <c r="T301" s="240"/>
      <c r="U301" s="240"/>
      <c r="V301" s="240"/>
      <c r="W301" s="240"/>
      <c r="X301" s="240"/>
      <c r="Y301" s="240"/>
      <c r="Z301" s="241"/>
      <c r="AA301" s="241"/>
      <c r="AB301" s="241"/>
      <c r="AC301" s="241"/>
      <c r="AD301" s="241"/>
      <c r="AE301" s="241"/>
      <c r="AF301" s="241"/>
      <c r="AG301" s="241"/>
      <c r="AH301" s="241"/>
      <c r="AI301" s="240"/>
    </row>
    <row r="302" spans="3:35" x14ac:dyDescent="0.2">
      <c r="C302" s="240"/>
      <c r="D302" s="240"/>
      <c r="E302" s="240"/>
      <c r="F302" s="240"/>
      <c r="G302" s="240"/>
      <c r="H302" s="240"/>
      <c r="I302" s="240"/>
      <c r="J302" s="240"/>
      <c r="K302" s="240"/>
      <c r="L302" s="240"/>
      <c r="M302" s="241"/>
      <c r="N302" s="241"/>
      <c r="O302" s="241"/>
      <c r="P302" s="241"/>
      <c r="Q302" s="241"/>
      <c r="R302" s="242"/>
      <c r="S302" s="243"/>
      <c r="T302" s="240"/>
      <c r="U302" s="240"/>
      <c r="V302" s="240"/>
      <c r="W302" s="240"/>
      <c r="X302" s="240"/>
      <c r="Y302" s="240"/>
      <c r="Z302" s="241"/>
      <c r="AA302" s="241"/>
      <c r="AB302" s="241"/>
      <c r="AC302" s="241"/>
      <c r="AD302" s="241"/>
      <c r="AE302" s="241"/>
      <c r="AF302" s="241"/>
      <c r="AG302" s="241"/>
      <c r="AH302" s="241"/>
      <c r="AI302" s="240"/>
    </row>
    <row r="303" spans="3:35" x14ac:dyDescent="0.2">
      <c r="C303" s="240"/>
      <c r="D303" s="240"/>
      <c r="E303" s="240"/>
      <c r="F303" s="240"/>
      <c r="G303" s="240"/>
      <c r="H303" s="240"/>
      <c r="I303" s="240"/>
      <c r="J303" s="240"/>
      <c r="K303" s="240"/>
      <c r="L303" s="240"/>
      <c r="M303" s="241"/>
      <c r="N303" s="241"/>
      <c r="O303" s="241"/>
      <c r="P303" s="241"/>
      <c r="Q303" s="241"/>
      <c r="R303" s="242"/>
      <c r="S303" s="243"/>
      <c r="T303" s="240"/>
      <c r="U303" s="240"/>
      <c r="V303" s="240"/>
      <c r="W303" s="240"/>
      <c r="X303" s="240"/>
      <c r="Y303" s="240"/>
      <c r="Z303" s="241"/>
      <c r="AA303" s="241"/>
      <c r="AB303" s="241"/>
      <c r="AC303" s="241"/>
      <c r="AD303" s="241"/>
      <c r="AE303" s="241"/>
      <c r="AF303" s="241"/>
      <c r="AG303" s="241"/>
      <c r="AH303" s="241"/>
      <c r="AI303" s="240"/>
    </row>
    <row r="304" spans="3:35" x14ac:dyDescent="0.2">
      <c r="C304" s="240"/>
      <c r="D304" s="240"/>
      <c r="E304" s="240"/>
      <c r="F304" s="240"/>
      <c r="G304" s="240"/>
      <c r="H304" s="240"/>
      <c r="I304" s="240"/>
      <c r="J304" s="240"/>
      <c r="K304" s="240"/>
      <c r="L304" s="240"/>
      <c r="M304" s="241"/>
      <c r="N304" s="241"/>
      <c r="O304" s="241"/>
      <c r="P304" s="241"/>
      <c r="Q304" s="241"/>
      <c r="R304" s="242"/>
      <c r="S304" s="243"/>
      <c r="T304" s="240"/>
      <c r="U304" s="240"/>
      <c r="V304" s="240"/>
      <c r="W304" s="240"/>
      <c r="X304" s="240"/>
      <c r="Y304" s="240"/>
      <c r="Z304" s="241"/>
      <c r="AA304" s="241"/>
      <c r="AB304" s="241"/>
      <c r="AC304" s="241"/>
      <c r="AD304" s="241"/>
      <c r="AE304" s="241"/>
      <c r="AF304" s="241"/>
      <c r="AG304" s="241"/>
      <c r="AH304" s="241"/>
      <c r="AI304" s="240"/>
    </row>
    <row r="305" spans="3:35" x14ac:dyDescent="0.2">
      <c r="C305" s="240"/>
      <c r="D305" s="240"/>
      <c r="E305" s="240"/>
      <c r="F305" s="240"/>
      <c r="G305" s="240"/>
      <c r="H305" s="240"/>
      <c r="I305" s="240"/>
      <c r="J305" s="240"/>
      <c r="K305" s="240"/>
      <c r="L305" s="240"/>
      <c r="M305" s="241"/>
      <c r="N305" s="241"/>
      <c r="O305" s="241"/>
      <c r="P305" s="241"/>
      <c r="Q305" s="241"/>
      <c r="R305" s="242"/>
      <c r="S305" s="243"/>
      <c r="T305" s="240"/>
      <c r="U305" s="240"/>
      <c r="V305" s="240"/>
      <c r="W305" s="240"/>
      <c r="X305" s="240"/>
      <c r="Y305" s="240"/>
      <c r="Z305" s="241"/>
      <c r="AA305" s="241"/>
      <c r="AB305" s="241"/>
      <c r="AC305" s="241"/>
      <c r="AD305" s="241"/>
      <c r="AE305" s="241"/>
      <c r="AF305" s="241"/>
      <c r="AG305" s="241"/>
      <c r="AH305" s="241"/>
      <c r="AI305" s="240"/>
    </row>
    <row r="306" spans="3:35" x14ac:dyDescent="0.2">
      <c r="C306" s="240"/>
      <c r="D306" s="240"/>
      <c r="E306" s="240"/>
      <c r="F306" s="240"/>
      <c r="G306" s="240"/>
      <c r="H306" s="240"/>
      <c r="I306" s="240"/>
      <c r="J306" s="240"/>
      <c r="K306" s="240"/>
      <c r="L306" s="240"/>
      <c r="M306" s="241"/>
      <c r="N306" s="241"/>
      <c r="O306" s="241"/>
      <c r="P306" s="241"/>
      <c r="Q306" s="241"/>
      <c r="R306" s="242"/>
      <c r="S306" s="243"/>
      <c r="T306" s="240"/>
      <c r="U306" s="240"/>
      <c r="V306" s="240"/>
      <c r="W306" s="240"/>
      <c r="X306" s="240"/>
      <c r="Y306" s="240"/>
      <c r="Z306" s="241"/>
      <c r="AA306" s="241"/>
      <c r="AB306" s="241"/>
      <c r="AC306" s="241"/>
      <c r="AD306" s="241"/>
      <c r="AE306" s="241"/>
      <c r="AF306" s="241"/>
      <c r="AG306" s="241"/>
      <c r="AH306" s="241"/>
      <c r="AI306" s="240"/>
    </row>
    <row r="307" spans="3:35" x14ac:dyDescent="0.2">
      <c r="C307" s="240"/>
      <c r="D307" s="240"/>
      <c r="E307" s="240"/>
      <c r="F307" s="240"/>
      <c r="G307" s="240"/>
      <c r="H307" s="240"/>
      <c r="I307" s="240"/>
      <c r="J307" s="240"/>
      <c r="K307" s="240"/>
      <c r="L307" s="240"/>
      <c r="M307" s="241"/>
      <c r="N307" s="241"/>
      <c r="O307" s="241"/>
      <c r="P307" s="241"/>
      <c r="Q307" s="241"/>
      <c r="R307" s="242"/>
      <c r="S307" s="243"/>
      <c r="T307" s="240"/>
      <c r="U307" s="240"/>
      <c r="V307" s="240"/>
      <c r="W307" s="240"/>
      <c r="X307" s="240"/>
      <c r="Y307" s="240"/>
      <c r="Z307" s="241"/>
      <c r="AA307" s="241"/>
      <c r="AB307" s="241"/>
      <c r="AC307" s="241"/>
      <c r="AD307" s="241"/>
      <c r="AE307" s="241"/>
      <c r="AF307" s="241"/>
      <c r="AG307" s="241"/>
      <c r="AH307" s="241"/>
      <c r="AI307" s="240"/>
    </row>
    <row r="308" spans="3:35" x14ac:dyDescent="0.2">
      <c r="C308" s="240"/>
      <c r="D308" s="240"/>
      <c r="E308" s="240"/>
      <c r="F308" s="240"/>
      <c r="G308" s="240"/>
      <c r="H308" s="240"/>
      <c r="I308" s="240"/>
      <c r="J308" s="240"/>
      <c r="K308" s="240"/>
      <c r="L308" s="240"/>
      <c r="M308" s="241"/>
      <c r="N308" s="241"/>
      <c r="O308" s="241"/>
      <c r="P308" s="241"/>
      <c r="Q308" s="241"/>
      <c r="R308" s="242"/>
      <c r="S308" s="243"/>
      <c r="T308" s="240"/>
      <c r="U308" s="240"/>
      <c r="V308" s="240"/>
      <c r="W308" s="240"/>
      <c r="X308" s="240"/>
      <c r="Y308" s="240"/>
      <c r="Z308" s="241"/>
      <c r="AA308" s="241"/>
      <c r="AB308" s="241"/>
      <c r="AC308" s="241"/>
      <c r="AD308" s="241"/>
      <c r="AE308" s="241"/>
      <c r="AF308" s="241"/>
      <c r="AG308" s="241"/>
      <c r="AH308" s="241"/>
      <c r="AI308" s="240"/>
    </row>
    <row r="309" spans="3:35" x14ac:dyDescent="0.2">
      <c r="C309" s="240"/>
      <c r="D309" s="240"/>
      <c r="E309" s="240"/>
      <c r="F309" s="240"/>
      <c r="G309" s="240"/>
      <c r="H309" s="240"/>
      <c r="I309" s="240"/>
      <c r="J309" s="240"/>
      <c r="K309" s="240"/>
      <c r="L309" s="240"/>
      <c r="M309" s="241"/>
      <c r="N309" s="241"/>
      <c r="O309" s="241"/>
      <c r="P309" s="241"/>
      <c r="Q309" s="241"/>
      <c r="R309" s="242"/>
      <c r="S309" s="243"/>
      <c r="T309" s="240"/>
      <c r="U309" s="240"/>
      <c r="V309" s="240"/>
      <c r="W309" s="240"/>
      <c r="X309" s="240"/>
      <c r="Y309" s="240"/>
      <c r="Z309" s="241"/>
      <c r="AA309" s="241"/>
      <c r="AB309" s="241"/>
      <c r="AC309" s="241"/>
      <c r="AD309" s="241"/>
      <c r="AE309" s="241"/>
      <c r="AF309" s="241"/>
      <c r="AG309" s="241"/>
      <c r="AH309" s="241"/>
      <c r="AI309" s="240"/>
    </row>
    <row r="310" spans="3:35" x14ac:dyDescent="0.2">
      <c r="C310" s="240"/>
      <c r="D310" s="240"/>
      <c r="E310" s="240"/>
      <c r="F310" s="240"/>
      <c r="G310" s="240"/>
      <c r="H310" s="240"/>
      <c r="I310" s="240"/>
      <c r="J310" s="240"/>
      <c r="K310" s="240"/>
      <c r="L310" s="240"/>
      <c r="M310" s="241"/>
      <c r="N310" s="241"/>
      <c r="O310" s="241"/>
      <c r="P310" s="241"/>
      <c r="Q310" s="241"/>
      <c r="R310" s="242"/>
      <c r="S310" s="243"/>
      <c r="T310" s="240"/>
      <c r="U310" s="240"/>
      <c r="V310" s="240"/>
      <c r="W310" s="240"/>
      <c r="X310" s="240"/>
      <c r="Y310" s="240"/>
      <c r="Z310" s="241"/>
      <c r="AA310" s="241"/>
      <c r="AB310" s="241"/>
      <c r="AC310" s="241"/>
      <c r="AD310" s="241"/>
      <c r="AE310" s="241"/>
      <c r="AF310" s="241"/>
      <c r="AG310" s="241"/>
      <c r="AH310" s="241"/>
      <c r="AI310" s="240"/>
    </row>
    <row r="311" spans="3:35" x14ac:dyDescent="0.2">
      <c r="C311" s="240"/>
      <c r="D311" s="240"/>
      <c r="E311" s="240"/>
      <c r="F311" s="240"/>
      <c r="G311" s="240"/>
      <c r="H311" s="240"/>
      <c r="I311" s="240"/>
      <c r="J311" s="240"/>
      <c r="K311" s="240"/>
      <c r="L311" s="240"/>
      <c r="M311" s="241"/>
      <c r="N311" s="241"/>
      <c r="O311" s="241"/>
      <c r="P311" s="241"/>
      <c r="Q311" s="241"/>
      <c r="R311" s="242"/>
      <c r="S311" s="243"/>
      <c r="T311" s="240"/>
      <c r="U311" s="240"/>
      <c r="V311" s="240"/>
      <c r="W311" s="240"/>
      <c r="X311" s="240"/>
      <c r="Y311" s="240"/>
      <c r="Z311" s="241"/>
      <c r="AA311" s="241"/>
      <c r="AB311" s="241"/>
      <c r="AC311" s="241"/>
      <c r="AD311" s="241"/>
      <c r="AE311" s="241"/>
      <c r="AF311" s="241"/>
      <c r="AG311" s="241"/>
      <c r="AH311" s="241"/>
      <c r="AI311" s="240"/>
    </row>
    <row r="312" spans="3:35" x14ac:dyDescent="0.2">
      <c r="C312" s="240"/>
      <c r="D312" s="240"/>
      <c r="E312" s="240"/>
      <c r="F312" s="240"/>
      <c r="G312" s="240"/>
      <c r="H312" s="240"/>
      <c r="I312" s="240"/>
      <c r="J312" s="240"/>
      <c r="K312" s="240"/>
      <c r="L312" s="240"/>
      <c r="M312" s="241"/>
      <c r="N312" s="241"/>
      <c r="O312" s="241"/>
      <c r="P312" s="241"/>
      <c r="Q312" s="241"/>
      <c r="R312" s="242"/>
      <c r="S312" s="243"/>
      <c r="T312" s="240"/>
      <c r="U312" s="240"/>
      <c r="V312" s="240"/>
      <c r="W312" s="240"/>
      <c r="X312" s="240"/>
      <c r="Y312" s="240"/>
      <c r="Z312" s="241"/>
      <c r="AA312" s="241"/>
      <c r="AB312" s="241"/>
      <c r="AC312" s="241"/>
      <c r="AD312" s="241"/>
      <c r="AE312" s="241"/>
      <c r="AF312" s="241"/>
      <c r="AG312" s="241"/>
      <c r="AH312" s="241"/>
      <c r="AI312" s="240"/>
    </row>
    <row r="313" spans="3:35" x14ac:dyDescent="0.2">
      <c r="C313" s="240"/>
      <c r="D313" s="240"/>
      <c r="E313" s="240"/>
      <c r="F313" s="240"/>
      <c r="G313" s="240"/>
      <c r="H313" s="240"/>
      <c r="I313" s="240"/>
      <c r="J313" s="240"/>
      <c r="K313" s="240"/>
      <c r="L313" s="240"/>
      <c r="M313" s="241"/>
      <c r="N313" s="241"/>
      <c r="O313" s="241"/>
      <c r="P313" s="241"/>
      <c r="Q313" s="241"/>
      <c r="R313" s="242"/>
      <c r="S313" s="243"/>
      <c r="T313" s="240"/>
      <c r="U313" s="240"/>
      <c r="V313" s="240"/>
      <c r="W313" s="240"/>
      <c r="X313" s="240"/>
      <c r="Y313" s="240"/>
      <c r="Z313" s="241"/>
      <c r="AA313" s="241"/>
      <c r="AB313" s="241"/>
      <c r="AC313" s="241"/>
      <c r="AD313" s="241"/>
      <c r="AE313" s="241"/>
      <c r="AF313" s="241"/>
      <c r="AG313" s="241"/>
      <c r="AH313" s="241"/>
      <c r="AI313" s="240"/>
    </row>
    <row r="314" spans="3:35" x14ac:dyDescent="0.2">
      <c r="C314" s="240"/>
      <c r="D314" s="240"/>
      <c r="E314" s="240"/>
      <c r="F314" s="240"/>
      <c r="G314" s="240"/>
      <c r="H314" s="240"/>
      <c r="I314" s="240"/>
      <c r="J314" s="240"/>
      <c r="K314" s="240"/>
      <c r="L314" s="240"/>
      <c r="M314" s="241"/>
      <c r="N314" s="241"/>
      <c r="O314" s="241"/>
      <c r="P314" s="241"/>
      <c r="Q314" s="241"/>
      <c r="R314" s="242"/>
      <c r="S314" s="243"/>
      <c r="T314" s="240"/>
      <c r="U314" s="240"/>
      <c r="V314" s="240"/>
      <c r="W314" s="240"/>
      <c r="X314" s="240"/>
      <c r="Y314" s="240"/>
      <c r="Z314" s="241"/>
      <c r="AA314" s="241"/>
      <c r="AB314" s="241"/>
      <c r="AC314" s="241"/>
      <c r="AD314" s="241"/>
      <c r="AE314" s="241"/>
      <c r="AF314" s="241"/>
      <c r="AG314" s="241"/>
      <c r="AH314" s="241"/>
      <c r="AI314" s="240"/>
    </row>
    <row r="315" spans="3:35" x14ac:dyDescent="0.2">
      <c r="C315" s="240"/>
      <c r="D315" s="240"/>
      <c r="E315" s="240"/>
      <c r="F315" s="240"/>
      <c r="G315" s="240"/>
      <c r="H315" s="240"/>
      <c r="I315" s="240"/>
      <c r="J315" s="240"/>
      <c r="K315" s="240"/>
      <c r="L315" s="240"/>
      <c r="M315" s="241"/>
      <c r="N315" s="241"/>
      <c r="O315" s="241"/>
      <c r="P315" s="241"/>
      <c r="Q315" s="241"/>
      <c r="R315" s="242"/>
      <c r="S315" s="243"/>
      <c r="T315" s="240"/>
      <c r="U315" s="240"/>
      <c r="V315" s="240"/>
      <c r="W315" s="240"/>
      <c r="X315" s="240"/>
      <c r="Y315" s="240"/>
      <c r="Z315" s="241"/>
      <c r="AA315" s="241"/>
      <c r="AB315" s="241"/>
      <c r="AC315" s="241"/>
      <c r="AD315" s="241"/>
      <c r="AE315" s="241"/>
      <c r="AF315" s="241"/>
      <c r="AG315" s="241"/>
      <c r="AH315" s="241"/>
      <c r="AI315" s="240"/>
    </row>
    <row r="316" spans="3:35" x14ac:dyDescent="0.2">
      <c r="C316" s="240"/>
      <c r="D316" s="240"/>
      <c r="E316" s="240"/>
      <c r="F316" s="240"/>
      <c r="G316" s="240"/>
      <c r="H316" s="240"/>
      <c r="I316" s="240"/>
      <c r="J316" s="240"/>
      <c r="K316" s="240"/>
      <c r="L316" s="240"/>
      <c r="M316" s="241"/>
      <c r="N316" s="241"/>
      <c r="O316" s="241"/>
      <c r="P316" s="241"/>
      <c r="Q316" s="241"/>
      <c r="R316" s="242"/>
      <c r="S316" s="243"/>
      <c r="T316" s="240"/>
      <c r="U316" s="240"/>
      <c r="V316" s="240"/>
      <c r="W316" s="240"/>
      <c r="X316" s="240"/>
      <c r="Y316" s="240"/>
      <c r="Z316" s="241"/>
      <c r="AA316" s="241"/>
      <c r="AB316" s="241"/>
      <c r="AC316" s="241"/>
      <c r="AD316" s="241"/>
      <c r="AE316" s="241"/>
      <c r="AF316" s="241"/>
      <c r="AG316" s="241"/>
      <c r="AH316" s="241"/>
      <c r="AI316" s="240"/>
    </row>
    <row r="317" spans="3:35" x14ac:dyDescent="0.2">
      <c r="C317" s="240"/>
      <c r="D317" s="240"/>
      <c r="E317" s="240"/>
      <c r="F317" s="240"/>
      <c r="G317" s="240"/>
      <c r="H317" s="240"/>
      <c r="I317" s="240"/>
      <c r="J317" s="240"/>
      <c r="K317" s="240"/>
      <c r="L317" s="240"/>
      <c r="M317" s="241"/>
      <c r="N317" s="241"/>
      <c r="O317" s="241"/>
      <c r="P317" s="241"/>
      <c r="Q317" s="241"/>
      <c r="R317" s="242"/>
      <c r="S317" s="243"/>
      <c r="T317" s="240"/>
      <c r="U317" s="240"/>
      <c r="V317" s="240"/>
      <c r="W317" s="240"/>
      <c r="X317" s="240"/>
      <c r="Y317" s="240"/>
      <c r="Z317" s="241"/>
      <c r="AA317" s="241"/>
      <c r="AB317" s="241"/>
      <c r="AC317" s="241"/>
      <c r="AD317" s="241"/>
      <c r="AE317" s="241"/>
      <c r="AF317" s="241"/>
      <c r="AG317" s="241"/>
      <c r="AH317" s="241"/>
      <c r="AI317" s="240"/>
    </row>
    <row r="318" spans="3:35" x14ac:dyDescent="0.2">
      <c r="C318" s="240"/>
      <c r="D318" s="240"/>
      <c r="E318" s="240"/>
      <c r="F318" s="240"/>
      <c r="G318" s="240"/>
      <c r="H318" s="240"/>
      <c r="I318" s="240"/>
      <c r="J318" s="240"/>
      <c r="K318" s="240"/>
      <c r="L318" s="240"/>
      <c r="M318" s="241"/>
      <c r="N318" s="241"/>
      <c r="O318" s="241"/>
      <c r="P318" s="241"/>
      <c r="Q318" s="241"/>
      <c r="R318" s="242"/>
      <c r="S318" s="243"/>
      <c r="T318" s="240"/>
      <c r="U318" s="240"/>
      <c r="V318" s="240"/>
      <c r="W318" s="240"/>
      <c r="X318" s="240"/>
      <c r="Y318" s="240"/>
      <c r="Z318" s="241"/>
      <c r="AA318" s="241"/>
      <c r="AB318" s="241"/>
      <c r="AC318" s="241"/>
      <c r="AD318" s="241"/>
      <c r="AE318" s="241"/>
      <c r="AF318" s="241"/>
      <c r="AG318" s="241"/>
      <c r="AH318" s="241"/>
      <c r="AI318" s="240"/>
    </row>
    <row r="319" spans="3:35" x14ac:dyDescent="0.2">
      <c r="C319" s="240"/>
      <c r="D319" s="240"/>
      <c r="E319" s="240"/>
      <c r="F319" s="240"/>
      <c r="G319" s="240"/>
      <c r="H319" s="240"/>
      <c r="I319" s="240"/>
      <c r="J319" s="240"/>
      <c r="K319" s="240"/>
      <c r="L319" s="240"/>
      <c r="M319" s="241"/>
      <c r="N319" s="241"/>
      <c r="O319" s="241"/>
      <c r="P319" s="241"/>
      <c r="Q319" s="241"/>
      <c r="R319" s="242"/>
      <c r="S319" s="243"/>
      <c r="T319" s="240"/>
      <c r="U319" s="240"/>
      <c r="V319" s="240"/>
      <c r="W319" s="240"/>
      <c r="X319" s="240"/>
      <c r="Y319" s="240"/>
      <c r="Z319" s="241"/>
      <c r="AA319" s="241"/>
      <c r="AB319" s="241"/>
      <c r="AC319" s="241"/>
      <c r="AD319" s="241"/>
      <c r="AE319" s="241"/>
      <c r="AF319" s="241"/>
      <c r="AG319" s="241"/>
      <c r="AH319" s="241"/>
      <c r="AI319" s="240"/>
    </row>
    <row r="320" spans="3:35" x14ac:dyDescent="0.2">
      <c r="C320" s="240"/>
      <c r="D320" s="240"/>
      <c r="E320" s="240"/>
      <c r="F320" s="240"/>
      <c r="G320" s="240"/>
      <c r="H320" s="240"/>
      <c r="I320" s="240"/>
      <c r="J320" s="240"/>
      <c r="K320" s="240"/>
      <c r="L320" s="240"/>
      <c r="M320" s="241"/>
      <c r="N320" s="241"/>
      <c r="O320" s="241"/>
      <c r="P320" s="241"/>
      <c r="Q320" s="241"/>
      <c r="R320" s="242"/>
      <c r="S320" s="243"/>
      <c r="T320" s="240"/>
      <c r="U320" s="240"/>
      <c r="V320" s="240"/>
      <c r="W320" s="240"/>
      <c r="X320" s="240"/>
      <c r="Y320" s="240"/>
      <c r="Z320" s="241"/>
      <c r="AA320" s="241"/>
      <c r="AB320" s="241"/>
      <c r="AC320" s="241"/>
      <c r="AD320" s="241"/>
      <c r="AE320" s="241"/>
      <c r="AF320" s="241"/>
      <c r="AG320" s="241"/>
      <c r="AH320" s="241"/>
      <c r="AI320" s="240"/>
    </row>
    <row r="321" spans="3:35" x14ac:dyDescent="0.2">
      <c r="C321" s="240"/>
      <c r="D321" s="240"/>
      <c r="E321" s="240"/>
      <c r="F321" s="240"/>
      <c r="G321" s="240"/>
      <c r="H321" s="240"/>
      <c r="I321" s="240"/>
      <c r="J321" s="240"/>
      <c r="K321" s="240"/>
      <c r="L321" s="240"/>
      <c r="M321" s="241"/>
      <c r="N321" s="241"/>
      <c r="O321" s="241"/>
      <c r="P321" s="241"/>
      <c r="Q321" s="241"/>
      <c r="R321" s="242"/>
      <c r="S321" s="243"/>
      <c r="T321" s="240"/>
      <c r="U321" s="240"/>
      <c r="V321" s="240"/>
      <c r="W321" s="240"/>
      <c r="X321" s="240"/>
      <c r="Y321" s="240"/>
      <c r="Z321" s="241"/>
      <c r="AA321" s="241"/>
      <c r="AB321" s="241"/>
      <c r="AC321" s="241"/>
      <c r="AD321" s="241"/>
      <c r="AE321" s="241"/>
      <c r="AF321" s="241"/>
      <c r="AG321" s="241"/>
      <c r="AH321" s="241"/>
      <c r="AI321" s="240"/>
    </row>
    <row r="322" spans="3:35" x14ac:dyDescent="0.2">
      <c r="C322" s="240"/>
      <c r="D322" s="240"/>
      <c r="E322" s="240"/>
      <c r="F322" s="240"/>
      <c r="G322" s="240"/>
      <c r="H322" s="240"/>
      <c r="I322" s="240"/>
      <c r="J322" s="240"/>
      <c r="K322" s="240"/>
      <c r="L322" s="240"/>
      <c r="M322" s="241"/>
      <c r="N322" s="241"/>
      <c r="O322" s="241"/>
      <c r="P322" s="241"/>
      <c r="Q322" s="241"/>
      <c r="R322" s="242"/>
      <c r="S322" s="243"/>
      <c r="T322" s="240"/>
      <c r="U322" s="240"/>
      <c r="V322" s="240"/>
      <c r="W322" s="240"/>
      <c r="X322" s="240"/>
      <c r="Y322" s="240"/>
      <c r="Z322" s="241"/>
      <c r="AA322" s="241"/>
      <c r="AB322" s="241"/>
      <c r="AC322" s="241"/>
      <c r="AD322" s="241"/>
      <c r="AE322" s="241"/>
      <c r="AF322" s="241"/>
      <c r="AG322" s="241"/>
      <c r="AH322" s="241"/>
      <c r="AI322" s="240"/>
    </row>
    <row r="323" spans="3:35" x14ac:dyDescent="0.2">
      <c r="C323" s="240"/>
      <c r="D323" s="240"/>
      <c r="E323" s="240"/>
      <c r="F323" s="240"/>
      <c r="G323" s="240"/>
      <c r="H323" s="240"/>
      <c r="I323" s="240"/>
      <c r="J323" s="240"/>
      <c r="K323" s="240"/>
      <c r="L323" s="240"/>
      <c r="M323" s="241"/>
      <c r="N323" s="241"/>
      <c r="O323" s="241"/>
      <c r="P323" s="241"/>
      <c r="Q323" s="241"/>
      <c r="R323" s="242"/>
      <c r="S323" s="243"/>
      <c r="T323" s="240"/>
      <c r="U323" s="240"/>
      <c r="V323" s="240"/>
      <c r="W323" s="240"/>
      <c r="X323" s="240"/>
      <c r="Y323" s="240"/>
      <c r="Z323" s="241"/>
      <c r="AA323" s="241"/>
      <c r="AB323" s="241"/>
      <c r="AC323" s="241"/>
      <c r="AD323" s="241"/>
      <c r="AE323" s="241"/>
      <c r="AF323" s="241"/>
      <c r="AG323" s="241"/>
      <c r="AH323" s="241"/>
      <c r="AI323" s="240"/>
    </row>
    <row r="324" spans="3:35" x14ac:dyDescent="0.2">
      <c r="C324" s="240"/>
      <c r="D324" s="240"/>
      <c r="E324" s="240"/>
      <c r="F324" s="240"/>
      <c r="G324" s="240"/>
      <c r="H324" s="240"/>
      <c r="I324" s="240"/>
      <c r="J324" s="240"/>
      <c r="K324" s="240"/>
      <c r="L324" s="240"/>
      <c r="M324" s="241"/>
      <c r="N324" s="241"/>
      <c r="O324" s="241"/>
      <c r="P324" s="241"/>
      <c r="Q324" s="241"/>
      <c r="R324" s="242"/>
      <c r="S324" s="243"/>
      <c r="T324" s="240"/>
      <c r="U324" s="240"/>
      <c r="V324" s="240"/>
      <c r="W324" s="240"/>
      <c r="X324" s="240"/>
      <c r="Y324" s="240"/>
      <c r="Z324" s="241"/>
      <c r="AA324" s="241"/>
      <c r="AB324" s="241"/>
      <c r="AC324" s="241"/>
      <c r="AD324" s="241"/>
      <c r="AE324" s="241"/>
      <c r="AF324" s="241"/>
      <c r="AG324" s="241"/>
      <c r="AH324" s="241"/>
      <c r="AI324" s="240"/>
    </row>
    <row r="325" spans="3:35" x14ac:dyDescent="0.2">
      <c r="C325" s="240"/>
      <c r="D325" s="240"/>
      <c r="E325" s="240"/>
      <c r="F325" s="240"/>
      <c r="G325" s="240"/>
      <c r="H325" s="240"/>
      <c r="I325" s="240"/>
      <c r="J325" s="240"/>
      <c r="K325" s="240"/>
      <c r="L325" s="240"/>
      <c r="M325" s="241"/>
      <c r="N325" s="241"/>
      <c r="O325" s="241"/>
      <c r="P325" s="241"/>
      <c r="Q325" s="241"/>
      <c r="R325" s="242"/>
      <c r="S325" s="243"/>
      <c r="T325" s="240"/>
      <c r="U325" s="240"/>
      <c r="V325" s="240"/>
      <c r="W325" s="240"/>
      <c r="X325" s="240"/>
      <c r="Y325" s="240"/>
      <c r="Z325" s="241"/>
      <c r="AA325" s="241"/>
      <c r="AB325" s="241"/>
      <c r="AC325" s="241"/>
      <c r="AD325" s="241"/>
      <c r="AE325" s="241"/>
      <c r="AF325" s="241"/>
      <c r="AG325" s="241"/>
      <c r="AH325" s="241"/>
      <c r="AI325" s="240"/>
    </row>
    <row r="326" spans="3:35" x14ac:dyDescent="0.2">
      <c r="C326" s="240"/>
      <c r="D326" s="240"/>
      <c r="E326" s="240"/>
      <c r="F326" s="240"/>
      <c r="G326" s="240"/>
      <c r="H326" s="240"/>
      <c r="I326" s="240"/>
      <c r="J326" s="240"/>
      <c r="K326" s="240"/>
      <c r="L326" s="240"/>
      <c r="M326" s="241"/>
      <c r="N326" s="241"/>
      <c r="O326" s="241"/>
      <c r="P326" s="241"/>
      <c r="Q326" s="241"/>
      <c r="R326" s="242"/>
      <c r="S326" s="243"/>
      <c r="T326" s="240"/>
      <c r="U326" s="240"/>
      <c r="V326" s="240"/>
      <c r="W326" s="240"/>
      <c r="X326" s="240"/>
      <c r="Y326" s="240"/>
      <c r="Z326" s="241"/>
      <c r="AA326" s="241"/>
      <c r="AB326" s="241"/>
      <c r="AC326" s="241"/>
      <c r="AD326" s="241"/>
      <c r="AE326" s="241"/>
      <c r="AF326" s="241"/>
      <c r="AG326" s="241"/>
      <c r="AH326" s="241"/>
      <c r="AI326" s="240"/>
    </row>
    <row r="327" spans="3:35" x14ac:dyDescent="0.2">
      <c r="C327" s="240"/>
      <c r="D327" s="240"/>
      <c r="E327" s="240"/>
      <c r="F327" s="240"/>
      <c r="G327" s="240"/>
      <c r="H327" s="240"/>
      <c r="I327" s="240"/>
      <c r="J327" s="240"/>
      <c r="K327" s="240"/>
      <c r="L327" s="240"/>
      <c r="M327" s="241"/>
      <c r="N327" s="241"/>
      <c r="O327" s="241"/>
      <c r="P327" s="241"/>
      <c r="Q327" s="241"/>
      <c r="R327" s="242"/>
      <c r="S327" s="243"/>
      <c r="T327" s="240"/>
      <c r="U327" s="240"/>
      <c r="V327" s="240"/>
      <c r="W327" s="240"/>
      <c r="X327" s="240"/>
      <c r="Y327" s="240"/>
      <c r="Z327" s="241"/>
      <c r="AA327" s="241"/>
      <c r="AB327" s="241"/>
      <c r="AC327" s="241"/>
      <c r="AD327" s="241"/>
      <c r="AE327" s="241"/>
      <c r="AF327" s="241"/>
      <c r="AG327" s="241"/>
      <c r="AH327" s="241"/>
      <c r="AI327" s="240"/>
    </row>
    <row r="328" spans="3:35" x14ac:dyDescent="0.2">
      <c r="C328" s="240"/>
      <c r="D328" s="240"/>
      <c r="E328" s="240"/>
      <c r="F328" s="240"/>
      <c r="G328" s="240"/>
      <c r="H328" s="240"/>
      <c r="I328" s="240"/>
      <c r="J328" s="240"/>
      <c r="K328" s="240"/>
      <c r="L328" s="240"/>
      <c r="M328" s="241"/>
      <c r="N328" s="241"/>
      <c r="O328" s="241"/>
      <c r="P328" s="241"/>
      <c r="Q328" s="241"/>
      <c r="R328" s="242"/>
      <c r="S328" s="243"/>
      <c r="T328" s="240"/>
      <c r="U328" s="240"/>
      <c r="V328" s="240"/>
      <c r="W328" s="240"/>
      <c r="X328" s="240"/>
      <c r="Y328" s="240"/>
      <c r="Z328" s="241"/>
      <c r="AA328" s="241"/>
      <c r="AB328" s="241"/>
      <c r="AC328" s="241"/>
      <c r="AD328" s="241"/>
      <c r="AE328" s="241"/>
      <c r="AF328" s="241"/>
      <c r="AG328" s="241"/>
      <c r="AH328" s="241"/>
      <c r="AI328" s="240"/>
    </row>
    <row r="329" spans="3:35" x14ac:dyDescent="0.2">
      <c r="C329" s="240"/>
      <c r="D329" s="240"/>
      <c r="E329" s="240"/>
      <c r="F329" s="240"/>
      <c r="G329" s="240"/>
      <c r="H329" s="240"/>
      <c r="I329" s="240"/>
      <c r="J329" s="240"/>
      <c r="K329" s="240"/>
      <c r="L329" s="240"/>
      <c r="M329" s="241"/>
      <c r="N329" s="241"/>
      <c r="O329" s="241"/>
      <c r="P329" s="241"/>
      <c r="Q329" s="241"/>
      <c r="R329" s="242"/>
      <c r="S329" s="243"/>
      <c r="T329" s="240"/>
      <c r="U329" s="240"/>
      <c r="V329" s="240"/>
      <c r="W329" s="240"/>
      <c r="X329" s="240"/>
      <c r="Y329" s="240"/>
      <c r="Z329" s="241"/>
      <c r="AA329" s="241"/>
      <c r="AB329" s="241"/>
      <c r="AC329" s="241"/>
      <c r="AD329" s="241"/>
      <c r="AE329" s="241"/>
      <c r="AF329" s="241"/>
      <c r="AG329" s="241"/>
      <c r="AH329" s="241"/>
      <c r="AI329" s="240"/>
    </row>
    <row r="330" spans="3:35" x14ac:dyDescent="0.2">
      <c r="C330" s="240"/>
      <c r="D330" s="240"/>
      <c r="E330" s="240"/>
      <c r="F330" s="240"/>
      <c r="G330" s="240"/>
      <c r="H330" s="240"/>
      <c r="I330" s="240"/>
      <c r="J330" s="240"/>
      <c r="K330" s="240"/>
      <c r="L330" s="240"/>
      <c r="M330" s="241"/>
      <c r="N330" s="241"/>
      <c r="O330" s="241"/>
      <c r="P330" s="241"/>
      <c r="Q330" s="241"/>
      <c r="R330" s="242"/>
      <c r="S330" s="243"/>
      <c r="T330" s="240"/>
      <c r="U330" s="240"/>
      <c r="V330" s="240"/>
      <c r="W330" s="240"/>
      <c r="X330" s="240"/>
      <c r="Y330" s="240"/>
      <c r="Z330" s="241"/>
      <c r="AA330" s="241"/>
      <c r="AB330" s="241"/>
      <c r="AC330" s="241"/>
      <c r="AD330" s="241"/>
      <c r="AE330" s="241"/>
      <c r="AF330" s="241"/>
      <c r="AG330" s="241"/>
      <c r="AH330" s="241"/>
      <c r="AI330" s="240"/>
    </row>
    <row r="331" spans="3:35" x14ac:dyDescent="0.2">
      <c r="C331" s="240"/>
      <c r="D331" s="240"/>
      <c r="E331" s="240"/>
      <c r="F331" s="240"/>
      <c r="G331" s="240"/>
      <c r="H331" s="240"/>
      <c r="I331" s="240"/>
      <c r="J331" s="240"/>
      <c r="K331" s="240"/>
      <c r="L331" s="240"/>
      <c r="M331" s="241"/>
      <c r="N331" s="241"/>
      <c r="O331" s="241"/>
      <c r="P331" s="241"/>
      <c r="Q331" s="241"/>
      <c r="R331" s="242"/>
      <c r="S331" s="243"/>
      <c r="T331" s="240"/>
      <c r="U331" s="240"/>
      <c r="V331" s="240"/>
      <c r="W331" s="240"/>
      <c r="X331" s="240"/>
      <c r="Y331" s="240"/>
      <c r="Z331" s="241"/>
      <c r="AA331" s="241"/>
      <c r="AB331" s="241"/>
      <c r="AC331" s="241"/>
      <c r="AD331" s="241"/>
      <c r="AE331" s="241"/>
      <c r="AF331" s="241"/>
      <c r="AG331" s="241"/>
      <c r="AH331" s="241"/>
      <c r="AI331" s="240"/>
    </row>
    <row r="332" spans="3:35" x14ac:dyDescent="0.2">
      <c r="C332" s="240"/>
      <c r="D332" s="240"/>
      <c r="E332" s="240"/>
      <c r="F332" s="240"/>
      <c r="G332" s="240"/>
      <c r="H332" s="240"/>
      <c r="I332" s="240"/>
      <c r="J332" s="240"/>
      <c r="K332" s="240"/>
      <c r="L332" s="240"/>
      <c r="M332" s="241"/>
      <c r="N332" s="241"/>
      <c r="O332" s="241"/>
      <c r="P332" s="241"/>
      <c r="Q332" s="241"/>
      <c r="R332" s="242"/>
      <c r="S332" s="243"/>
      <c r="T332" s="240"/>
      <c r="U332" s="240"/>
      <c r="V332" s="240"/>
      <c r="W332" s="240"/>
      <c r="X332" s="240"/>
      <c r="Y332" s="240"/>
      <c r="Z332" s="241"/>
      <c r="AA332" s="241"/>
      <c r="AB332" s="241"/>
      <c r="AC332" s="241"/>
      <c r="AD332" s="241"/>
      <c r="AE332" s="241"/>
      <c r="AF332" s="241"/>
      <c r="AG332" s="241"/>
      <c r="AH332" s="241"/>
      <c r="AI332" s="240"/>
    </row>
    <row r="333" spans="3:35" x14ac:dyDescent="0.2">
      <c r="C333" s="240"/>
      <c r="D333" s="240"/>
      <c r="E333" s="240"/>
      <c r="F333" s="240"/>
      <c r="G333" s="240"/>
      <c r="H333" s="240"/>
      <c r="I333" s="240"/>
      <c r="J333" s="240"/>
      <c r="K333" s="240"/>
      <c r="L333" s="240"/>
      <c r="M333" s="241"/>
      <c r="N333" s="241"/>
      <c r="O333" s="241"/>
      <c r="P333" s="241"/>
      <c r="Q333" s="241"/>
      <c r="R333" s="242"/>
      <c r="S333" s="243"/>
      <c r="T333" s="240"/>
      <c r="U333" s="240"/>
      <c r="V333" s="240"/>
      <c r="W333" s="240"/>
      <c r="X333" s="240"/>
      <c r="Y333" s="240"/>
      <c r="Z333" s="241"/>
      <c r="AA333" s="241"/>
      <c r="AB333" s="241"/>
      <c r="AC333" s="241"/>
      <c r="AD333" s="241"/>
      <c r="AE333" s="241"/>
      <c r="AF333" s="241"/>
      <c r="AG333" s="241"/>
      <c r="AH333" s="241"/>
      <c r="AI333" s="240"/>
    </row>
    <row r="334" spans="3:35" x14ac:dyDescent="0.2">
      <c r="C334" s="240"/>
      <c r="D334" s="240"/>
      <c r="E334" s="240"/>
      <c r="F334" s="240"/>
      <c r="G334" s="240"/>
      <c r="H334" s="240"/>
      <c r="I334" s="240"/>
      <c r="J334" s="240"/>
      <c r="K334" s="240"/>
      <c r="L334" s="240"/>
      <c r="M334" s="241"/>
      <c r="N334" s="241"/>
      <c r="O334" s="241"/>
      <c r="P334" s="241"/>
      <c r="Q334" s="241"/>
      <c r="R334" s="242"/>
      <c r="S334" s="243"/>
      <c r="T334" s="240"/>
      <c r="U334" s="240"/>
      <c r="V334" s="240"/>
      <c r="W334" s="240"/>
      <c r="X334" s="240"/>
      <c r="Y334" s="240"/>
      <c r="Z334" s="241"/>
      <c r="AA334" s="241"/>
      <c r="AB334" s="241"/>
      <c r="AC334" s="241"/>
      <c r="AD334" s="241"/>
      <c r="AE334" s="241"/>
      <c r="AF334" s="241"/>
      <c r="AG334" s="241"/>
      <c r="AH334" s="241"/>
      <c r="AI334" s="240"/>
    </row>
    <row r="335" spans="3:35" x14ac:dyDescent="0.2">
      <c r="C335" s="240"/>
      <c r="D335" s="240"/>
      <c r="E335" s="240"/>
      <c r="F335" s="240"/>
      <c r="G335" s="240"/>
      <c r="H335" s="240"/>
      <c r="I335" s="240"/>
      <c r="J335" s="240"/>
      <c r="K335" s="240"/>
      <c r="L335" s="240"/>
      <c r="M335" s="241"/>
      <c r="N335" s="241"/>
      <c r="O335" s="241"/>
      <c r="P335" s="241"/>
      <c r="Q335" s="241"/>
      <c r="R335" s="242"/>
      <c r="S335" s="243"/>
      <c r="T335" s="240"/>
      <c r="U335" s="240"/>
      <c r="V335" s="240"/>
      <c r="W335" s="240"/>
      <c r="X335" s="240"/>
      <c r="Y335" s="240"/>
      <c r="Z335" s="241"/>
      <c r="AA335" s="241"/>
      <c r="AB335" s="241"/>
      <c r="AC335" s="241"/>
      <c r="AD335" s="241"/>
      <c r="AE335" s="241"/>
      <c r="AF335" s="241"/>
      <c r="AG335" s="241"/>
      <c r="AH335" s="241"/>
      <c r="AI335" s="240"/>
    </row>
    <row r="336" spans="3:35" x14ac:dyDescent="0.2">
      <c r="C336" s="240"/>
      <c r="D336" s="240"/>
      <c r="E336" s="240"/>
      <c r="F336" s="240"/>
      <c r="G336" s="240"/>
      <c r="H336" s="240"/>
      <c r="I336" s="240"/>
      <c r="J336" s="240"/>
      <c r="K336" s="240"/>
      <c r="L336" s="240"/>
      <c r="M336" s="241"/>
      <c r="N336" s="241"/>
      <c r="O336" s="241"/>
      <c r="P336" s="241"/>
      <c r="Q336" s="241"/>
      <c r="R336" s="242"/>
      <c r="S336" s="243"/>
      <c r="T336" s="240"/>
      <c r="U336" s="240"/>
      <c r="V336" s="240"/>
      <c r="W336" s="240"/>
      <c r="X336" s="240"/>
      <c r="Y336" s="240"/>
      <c r="Z336" s="241"/>
      <c r="AA336" s="241"/>
      <c r="AB336" s="241"/>
      <c r="AC336" s="241"/>
      <c r="AD336" s="241"/>
      <c r="AE336" s="241"/>
      <c r="AF336" s="241"/>
      <c r="AG336" s="241"/>
      <c r="AH336" s="241"/>
      <c r="AI336" s="240"/>
    </row>
    <row r="337" spans="3:35" x14ac:dyDescent="0.2">
      <c r="C337" s="240"/>
      <c r="D337" s="240"/>
      <c r="E337" s="240"/>
      <c r="F337" s="240"/>
      <c r="G337" s="240"/>
      <c r="H337" s="240"/>
      <c r="I337" s="240"/>
      <c r="J337" s="240"/>
      <c r="K337" s="240"/>
      <c r="L337" s="240"/>
      <c r="M337" s="241"/>
      <c r="N337" s="241"/>
      <c r="O337" s="241"/>
      <c r="P337" s="241"/>
      <c r="Q337" s="241"/>
      <c r="R337" s="242"/>
      <c r="S337" s="243"/>
      <c r="T337" s="240"/>
      <c r="U337" s="240"/>
      <c r="V337" s="240"/>
      <c r="W337" s="240"/>
      <c r="X337" s="240"/>
      <c r="Y337" s="240"/>
      <c r="Z337" s="241"/>
      <c r="AA337" s="241"/>
      <c r="AB337" s="241"/>
      <c r="AC337" s="241"/>
      <c r="AD337" s="241"/>
      <c r="AE337" s="241"/>
      <c r="AF337" s="241"/>
      <c r="AG337" s="241"/>
      <c r="AH337" s="241"/>
      <c r="AI337" s="240"/>
    </row>
    <row r="338" spans="3:35" x14ac:dyDescent="0.2">
      <c r="C338" s="240"/>
      <c r="D338" s="240"/>
      <c r="E338" s="240"/>
      <c r="F338" s="240"/>
      <c r="G338" s="240"/>
      <c r="H338" s="240"/>
      <c r="I338" s="240"/>
      <c r="J338" s="240"/>
      <c r="K338" s="240"/>
      <c r="L338" s="240"/>
      <c r="M338" s="241"/>
      <c r="N338" s="241"/>
      <c r="O338" s="241"/>
      <c r="P338" s="241"/>
      <c r="Q338" s="241"/>
      <c r="R338" s="242"/>
      <c r="S338" s="243"/>
      <c r="T338" s="240"/>
      <c r="U338" s="240"/>
      <c r="V338" s="240"/>
      <c r="W338" s="240"/>
      <c r="X338" s="240"/>
      <c r="Y338" s="240"/>
      <c r="Z338" s="241"/>
      <c r="AA338" s="241"/>
      <c r="AB338" s="241"/>
      <c r="AC338" s="241"/>
      <c r="AD338" s="241"/>
      <c r="AE338" s="241"/>
      <c r="AF338" s="241"/>
      <c r="AG338" s="241"/>
      <c r="AH338" s="241"/>
      <c r="AI338" s="240"/>
    </row>
    <row r="339" spans="3:35" x14ac:dyDescent="0.2">
      <c r="C339" s="240"/>
      <c r="D339" s="240"/>
      <c r="E339" s="240"/>
      <c r="F339" s="240"/>
      <c r="G339" s="240"/>
      <c r="H339" s="240"/>
      <c r="I339" s="240"/>
      <c r="J339" s="240"/>
      <c r="K339" s="240"/>
      <c r="L339" s="240"/>
      <c r="M339" s="241"/>
      <c r="N339" s="241"/>
      <c r="O339" s="241"/>
      <c r="P339" s="241"/>
      <c r="Q339" s="241"/>
      <c r="R339" s="242"/>
      <c r="S339" s="243"/>
      <c r="T339" s="240"/>
      <c r="U339" s="240"/>
      <c r="V339" s="240"/>
      <c r="W339" s="240"/>
      <c r="X339" s="240"/>
      <c r="Y339" s="240"/>
      <c r="Z339" s="241"/>
      <c r="AA339" s="241"/>
      <c r="AB339" s="241"/>
      <c r="AC339" s="241"/>
      <c r="AD339" s="241"/>
      <c r="AE339" s="241"/>
      <c r="AF339" s="241"/>
      <c r="AG339" s="241"/>
      <c r="AH339" s="241"/>
      <c r="AI339" s="240"/>
    </row>
    <row r="340" spans="3:35" x14ac:dyDescent="0.2">
      <c r="C340" s="240"/>
      <c r="D340" s="240"/>
      <c r="E340" s="240"/>
      <c r="F340" s="240"/>
      <c r="G340" s="240"/>
      <c r="H340" s="240"/>
      <c r="I340" s="240"/>
      <c r="J340" s="240"/>
      <c r="K340" s="240"/>
      <c r="L340" s="240"/>
      <c r="M340" s="241"/>
      <c r="N340" s="241"/>
      <c r="O340" s="241"/>
      <c r="P340" s="241"/>
      <c r="Q340" s="241"/>
      <c r="R340" s="242"/>
      <c r="S340" s="243"/>
      <c r="T340" s="240"/>
      <c r="U340" s="240"/>
      <c r="V340" s="240"/>
      <c r="W340" s="240"/>
      <c r="X340" s="240"/>
      <c r="Y340" s="240"/>
      <c r="Z340" s="241"/>
      <c r="AA340" s="241"/>
      <c r="AB340" s="241"/>
      <c r="AC340" s="241"/>
      <c r="AD340" s="241"/>
      <c r="AE340" s="241"/>
      <c r="AF340" s="241"/>
      <c r="AG340" s="241"/>
      <c r="AH340" s="241"/>
      <c r="AI340" s="240"/>
    </row>
    <row r="341" spans="3:35" x14ac:dyDescent="0.2">
      <c r="C341" s="240"/>
      <c r="D341" s="240"/>
      <c r="E341" s="240"/>
      <c r="F341" s="240"/>
      <c r="G341" s="240"/>
      <c r="H341" s="240"/>
      <c r="I341" s="240"/>
      <c r="J341" s="240"/>
      <c r="K341" s="240"/>
      <c r="L341" s="240"/>
      <c r="M341" s="241"/>
      <c r="N341" s="241"/>
      <c r="O341" s="241"/>
      <c r="P341" s="241"/>
      <c r="Q341" s="241"/>
      <c r="R341" s="242"/>
      <c r="S341" s="243"/>
      <c r="T341" s="240"/>
      <c r="U341" s="240"/>
      <c r="V341" s="240"/>
      <c r="W341" s="240"/>
      <c r="X341" s="240"/>
      <c r="Y341" s="240"/>
      <c r="Z341" s="241"/>
      <c r="AA341" s="241"/>
      <c r="AB341" s="241"/>
      <c r="AC341" s="241"/>
      <c r="AD341" s="241"/>
      <c r="AE341" s="241"/>
      <c r="AF341" s="241"/>
      <c r="AG341" s="241"/>
      <c r="AH341" s="241"/>
      <c r="AI341" s="240"/>
    </row>
    <row r="342" spans="3:35" x14ac:dyDescent="0.2">
      <c r="C342" s="240"/>
      <c r="D342" s="240"/>
      <c r="E342" s="240"/>
      <c r="F342" s="240"/>
      <c r="G342" s="240"/>
      <c r="H342" s="240"/>
      <c r="I342" s="240"/>
      <c r="J342" s="240"/>
      <c r="K342" s="240"/>
      <c r="L342" s="240"/>
      <c r="M342" s="241"/>
      <c r="N342" s="241"/>
      <c r="O342" s="241"/>
      <c r="P342" s="241"/>
      <c r="Q342" s="241"/>
      <c r="R342" s="242"/>
      <c r="S342" s="243"/>
      <c r="T342" s="240"/>
      <c r="U342" s="240"/>
      <c r="V342" s="240"/>
      <c r="W342" s="240"/>
      <c r="X342" s="240"/>
      <c r="Y342" s="240"/>
      <c r="Z342" s="241"/>
      <c r="AA342" s="241"/>
      <c r="AB342" s="241"/>
      <c r="AC342" s="241"/>
      <c r="AD342" s="241"/>
      <c r="AE342" s="241"/>
      <c r="AF342" s="241"/>
      <c r="AG342" s="241"/>
      <c r="AH342" s="241"/>
      <c r="AI342" s="240"/>
    </row>
    <row r="343" spans="3:35" x14ac:dyDescent="0.2">
      <c r="C343" s="240"/>
      <c r="D343" s="240"/>
      <c r="E343" s="240"/>
      <c r="F343" s="240"/>
      <c r="G343" s="240"/>
      <c r="H343" s="240"/>
      <c r="I343" s="240"/>
      <c r="J343" s="240"/>
      <c r="K343" s="240"/>
      <c r="L343" s="240"/>
      <c r="M343" s="241"/>
      <c r="N343" s="241"/>
      <c r="O343" s="241"/>
      <c r="P343" s="241"/>
      <c r="Q343" s="241"/>
      <c r="R343" s="242"/>
      <c r="S343" s="243"/>
      <c r="T343" s="240"/>
      <c r="U343" s="240"/>
      <c r="V343" s="240"/>
      <c r="W343" s="240"/>
      <c r="X343" s="240"/>
      <c r="Y343" s="240"/>
      <c r="Z343" s="241"/>
      <c r="AA343" s="241"/>
      <c r="AB343" s="241"/>
      <c r="AC343" s="241"/>
      <c r="AD343" s="241"/>
      <c r="AE343" s="241"/>
      <c r="AF343" s="241"/>
      <c r="AG343" s="241"/>
      <c r="AH343" s="241"/>
      <c r="AI343" s="240"/>
    </row>
    <row r="344" spans="3:35" x14ac:dyDescent="0.2">
      <c r="C344" s="240"/>
      <c r="D344" s="240"/>
      <c r="E344" s="240"/>
      <c r="F344" s="240"/>
      <c r="G344" s="240"/>
      <c r="H344" s="240"/>
      <c r="I344" s="240"/>
      <c r="J344" s="240"/>
      <c r="K344" s="240"/>
      <c r="L344" s="240"/>
      <c r="M344" s="241"/>
      <c r="N344" s="241"/>
      <c r="O344" s="241"/>
      <c r="P344" s="241"/>
      <c r="Q344" s="241"/>
      <c r="R344" s="242"/>
      <c r="S344" s="243"/>
      <c r="T344" s="240"/>
      <c r="U344" s="240"/>
      <c r="V344" s="240"/>
      <c r="W344" s="240"/>
      <c r="X344" s="240"/>
      <c r="Y344" s="240"/>
      <c r="Z344" s="241"/>
      <c r="AA344" s="241"/>
      <c r="AB344" s="241"/>
      <c r="AC344" s="241"/>
      <c r="AD344" s="241"/>
      <c r="AE344" s="241"/>
      <c r="AF344" s="241"/>
      <c r="AG344" s="241"/>
      <c r="AH344" s="241"/>
      <c r="AI344" s="240"/>
    </row>
    <row r="345" spans="3:35" x14ac:dyDescent="0.2">
      <c r="C345" s="240"/>
      <c r="D345" s="240"/>
      <c r="E345" s="240"/>
      <c r="F345" s="240"/>
      <c r="G345" s="240"/>
      <c r="H345" s="240"/>
      <c r="I345" s="240"/>
      <c r="J345" s="240"/>
      <c r="K345" s="240"/>
      <c r="L345" s="240"/>
      <c r="M345" s="241"/>
      <c r="N345" s="241"/>
      <c r="O345" s="241"/>
      <c r="P345" s="241"/>
      <c r="Q345" s="241"/>
      <c r="R345" s="242"/>
      <c r="S345" s="243"/>
      <c r="T345" s="240"/>
      <c r="U345" s="240"/>
      <c r="V345" s="240"/>
      <c r="W345" s="240"/>
      <c r="X345" s="240"/>
      <c r="Y345" s="240"/>
      <c r="Z345" s="241"/>
      <c r="AA345" s="241"/>
      <c r="AB345" s="241"/>
      <c r="AC345" s="241"/>
      <c r="AD345" s="241"/>
      <c r="AE345" s="241"/>
      <c r="AF345" s="241"/>
      <c r="AG345" s="241"/>
      <c r="AH345" s="241"/>
      <c r="AI345" s="240"/>
    </row>
    <row r="346" spans="3:35" x14ac:dyDescent="0.2">
      <c r="C346" s="240"/>
      <c r="D346" s="240"/>
      <c r="E346" s="240"/>
      <c r="F346" s="240"/>
      <c r="G346" s="240"/>
      <c r="H346" s="240"/>
      <c r="I346" s="240"/>
      <c r="J346" s="240"/>
      <c r="K346" s="240"/>
      <c r="L346" s="240"/>
      <c r="M346" s="241"/>
      <c r="N346" s="241"/>
      <c r="O346" s="241"/>
      <c r="P346" s="241"/>
      <c r="Q346" s="241"/>
      <c r="R346" s="242"/>
      <c r="S346" s="243"/>
      <c r="T346" s="240"/>
      <c r="U346" s="240"/>
      <c r="V346" s="240"/>
      <c r="W346" s="240"/>
      <c r="X346" s="240"/>
      <c r="Y346" s="240"/>
      <c r="Z346" s="241"/>
      <c r="AA346" s="241"/>
      <c r="AB346" s="241"/>
      <c r="AC346" s="241"/>
      <c r="AD346" s="241"/>
      <c r="AE346" s="241"/>
      <c r="AF346" s="241"/>
      <c r="AG346" s="241"/>
      <c r="AH346" s="241"/>
      <c r="AI346" s="240"/>
    </row>
    <row r="347" spans="3:35" x14ac:dyDescent="0.2">
      <c r="C347" s="240"/>
      <c r="D347" s="240"/>
      <c r="E347" s="240"/>
      <c r="F347" s="240"/>
      <c r="G347" s="240"/>
      <c r="H347" s="240"/>
      <c r="I347" s="240"/>
      <c r="J347" s="240"/>
      <c r="K347" s="240"/>
      <c r="L347" s="240"/>
      <c r="M347" s="241"/>
      <c r="N347" s="241"/>
      <c r="O347" s="241"/>
      <c r="P347" s="241"/>
      <c r="Q347" s="241"/>
      <c r="R347" s="242"/>
      <c r="S347" s="243"/>
      <c r="T347" s="240"/>
      <c r="U347" s="240"/>
      <c r="V347" s="240"/>
      <c r="W347" s="240"/>
      <c r="X347" s="240"/>
      <c r="Y347" s="240"/>
      <c r="Z347" s="241"/>
      <c r="AA347" s="241"/>
      <c r="AB347" s="241"/>
      <c r="AC347" s="241"/>
      <c r="AD347" s="241"/>
      <c r="AE347" s="241"/>
      <c r="AF347" s="241"/>
      <c r="AG347" s="241"/>
      <c r="AH347" s="241"/>
      <c r="AI347" s="240"/>
    </row>
    <row r="348" spans="3:35" x14ac:dyDescent="0.2">
      <c r="C348" s="240"/>
      <c r="D348" s="240"/>
      <c r="E348" s="240"/>
      <c r="F348" s="240"/>
      <c r="G348" s="240"/>
      <c r="H348" s="240"/>
      <c r="I348" s="240"/>
      <c r="J348" s="240"/>
      <c r="K348" s="240"/>
      <c r="L348" s="240"/>
      <c r="M348" s="241"/>
      <c r="N348" s="241"/>
      <c r="O348" s="241"/>
      <c r="P348" s="241"/>
      <c r="Q348" s="241"/>
      <c r="R348" s="242"/>
      <c r="S348" s="243"/>
      <c r="T348" s="240"/>
      <c r="U348" s="240"/>
      <c r="V348" s="240"/>
      <c r="W348" s="240"/>
      <c r="X348" s="240"/>
      <c r="Y348" s="240"/>
      <c r="Z348" s="241"/>
      <c r="AA348" s="241"/>
      <c r="AB348" s="241"/>
      <c r="AC348" s="241"/>
      <c r="AD348" s="241"/>
      <c r="AE348" s="241"/>
      <c r="AF348" s="241"/>
      <c r="AG348" s="241"/>
      <c r="AH348" s="241"/>
      <c r="AI348" s="240"/>
    </row>
    <row r="349" spans="3:35" x14ac:dyDescent="0.2">
      <c r="C349" s="240"/>
      <c r="D349" s="240"/>
      <c r="E349" s="240"/>
      <c r="F349" s="240"/>
      <c r="G349" s="240"/>
      <c r="H349" s="240"/>
      <c r="I349" s="240"/>
      <c r="J349" s="240"/>
      <c r="K349" s="240"/>
      <c r="L349" s="240"/>
      <c r="M349" s="241"/>
      <c r="N349" s="241"/>
      <c r="O349" s="241"/>
      <c r="P349" s="241"/>
      <c r="Q349" s="241"/>
      <c r="R349" s="242"/>
      <c r="S349" s="243"/>
      <c r="T349" s="240"/>
      <c r="U349" s="240"/>
      <c r="V349" s="240"/>
      <c r="W349" s="240"/>
      <c r="X349" s="240"/>
      <c r="Y349" s="240"/>
      <c r="Z349" s="241"/>
      <c r="AA349" s="241"/>
      <c r="AB349" s="241"/>
      <c r="AC349" s="241"/>
      <c r="AD349" s="241"/>
      <c r="AE349" s="241"/>
      <c r="AF349" s="241"/>
      <c r="AG349" s="241"/>
      <c r="AH349" s="241"/>
      <c r="AI349" s="240"/>
    </row>
    <row r="350" spans="3:35" x14ac:dyDescent="0.2">
      <c r="C350" s="240"/>
      <c r="D350" s="240"/>
      <c r="E350" s="240"/>
      <c r="F350" s="240"/>
      <c r="G350" s="240"/>
      <c r="H350" s="240"/>
      <c r="I350" s="240"/>
      <c r="J350" s="240"/>
      <c r="K350" s="240"/>
      <c r="L350" s="240"/>
      <c r="M350" s="241"/>
      <c r="N350" s="241"/>
      <c r="O350" s="241"/>
      <c r="P350" s="241"/>
      <c r="Q350" s="241"/>
      <c r="R350" s="242"/>
      <c r="S350" s="243"/>
      <c r="T350" s="240"/>
      <c r="U350" s="240"/>
      <c r="V350" s="240"/>
      <c r="W350" s="240"/>
      <c r="X350" s="240"/>
      <c r="Y350" s="240"/>
      <c r="Z350" s="241"/>
      <c r="AA350" s="241"/>
      <c r="AB350" s="241"/>
      <c r="AC350" s="241"/>
      <c r="AD350" s="241"/>
      <c r="AE350" s="241"/>
      <c r="AF350" s="241"/>
      <c r="AG350" s="241"/>
      <c r="AH350" s="241"/>
      <c r="AI350" s="240"/>
    </row>
    <row r="351" spans="3:35" x14ac:dyDescent="0.2">
      <c r="C351" s="240"/>
      <c r="D351" s="240"/>
      <c r="E351" s="240"/>
      <c r="F351" s="240"/>
      <c r="G351" s="240"/>
      <c r="H351" s="240"/>
      <c r="I351" s="240"/>
      <c r="J351" s="240"/>
      <c r="K351" s="240"/>
      <c r="L351" s="240"/>
      <c r="M351" s="241"/>
      <c r="N351" s="241"/>
      <c r="O351" s="241"/>
      <c r="P351" s="241"/>
      <c r="Q351" s="241"/>
      <c r="R351" s="242"/>
      <c r="S351" s="243"/>
      <c r="T351" s="240"/>
      <c r="U351" s="240"/>
      <c r="V351" s="240"/>
      <c r="W351" s="240"/>
      <c r="X351" s="240"/>
      <c r="Y351" s="240"/>
      <c r="Z351" s="241"/>
      <c r="AA351" s="241"/>
      <c r="AB351" s="241"/>
      <c r="AC351" s="241"/>
      <c r="AD351" s="241"/>
      <c r="AE351" s="241"/>
      <c r="AF351" s="241"/>
      <c r="AG351" s="241"/>
      <c r="AH351" s="241"/>
      <c r="AI351" s="240"/>
    </row>
    <row r="352" spans="3:35" x14ac:dyDescent="0.2">
      <c r="C352" s="240"/>
      <c r="D352" s="240"/>
      <c r="E352" s="240"/>
      <c r="F352" s="240"/>
      <c r="G352" s="240"/>
      <c r="H352" s="240"/>
      <c r="I352" s="240"/>
      <c r="J352" s="240"/>
      <c r="K352" s="240"/>
      <c r="L352" s="240"/>
      <c r="M352" s="241"/>
      <c r="N352" s="241"/>
      <c r="O352" s="241"/>
      <c r="P352" s="241"/>
      <c r="Q352" s="241"/>
      <c r="R352" s="242"/>
      <c r="S352" s="243"/>
      <c r="T352" s="240"/>
      <c r="U352" s="240"/>
      <c r="V352" s="240"/>
      <c r="W352" s="240"/>
      <c r="X352" s="240"/>
      <c r="Y352" s="240"/>
      <c r="Z352" s="241"/>
      <c r="AA352" s="241"/>
      <c r="AB352" s="241"/>
      <c r="AC352" s="241"/>
      <c r="AD352" s="241"/>
      <c r="AE352" s="241"/>
      <c r="AF352" s="241"/>
      <c r="AG352" s="241"/>
      <c r="AH352" s="241"/>
      <c r="AI352" s="240"/>
    </row>
    <row r="353" spans="3:35" x14ac:dyDescent="0.2">
      <c r="C353" s="240"/>
      <c r="D353" s="240"/>
      <c r="E353" s="240"/>
      <c r="F353" s="240"/>
      <c r="G353" s="240"/>
      <c r="H353" s="240"/>
      <c r="I353" s="240"/>
      <c r="J353" s="240"/>
      <c r="K353" s="240"/>
      <c r="L353" s="240"/>
      <c r="M353" s="241"/>
      <c r="N353" s="241"/>
      <c r="O353" s="241"/>
      <c r="P353" s="241"/>
      <c r="Q353" s="241"/>
      <c r="R353" s="242"/>
      <c r="S353" s="243"/>
      <c r="T353" s="240"/>
      <c r="U353" s="240"/>
      <c r="V353" s="240"/>
      <c r="W353" s="240"/>
      <c r="X353" s="240"/>
      <c r="Y353" s="240"/>
      <c r="Z353" s="241"/>
      <c r="AA353" s="241"/>
      <c r="AB353" s="241"/>
      <c r="AC353" s="241"/>
      <c r="AD353" s="241"/>
      <c r="AE353" s="241"/>
      <c r="AF353" s="241"/>
      <c r="AG353" s="241"/>
      <c r="AH353" s="241"/>
      <c r="AI353" s="240"/>
    </row>
    <row r="354" spans="3:35" x14ac:dyDescent="0.2">
      <c r="C354" s="240"/>
      <c r="D354" s="240"/>
      <c r="E354" s="240"/>
      <c r="F354" s="240"/>
      <c r="G354" s="240"/>
      <c r="H354" s="240"/>
      <c r="I354" s="240"/>
      <c r="J354" s="240"/>
      <c r="K354" s="240"/>
      <c r="L354" s="240"/>
      <c r="M354" s="241"/>
      <c r="N354" s="241"/>
      <c r="O354" s="241"/>
      <c r="P354" s="241"/>
      <c r="Q354" s="241"/>
      <c r="R354" s="242"/>
      <c r="S354" s="243"/>
      <c r="T354" s="240"/>
      <c r="U354" s="240"/>
      <c r="V354" s="240"/>
      <c r="W354" s="240"/>
      <c r="X354" s="240"/>
      <c r="Y354" s="240"/>
      <c r="Z354" s="241"/>
      <c r="AA354" s="241"/>
      <c r="AB354" s="241"/>
      <c r="AC354" s="241"/>
      <c r="AD354" s="241"/>
      <c r="AE354" s="241"/>
      <c r="AF354" s="241"/>
      <c r="AG354" s="241"/>
      <c r="AH354" s="241"/>
      <c r="AI354" s="240"/>
    </row>
    <row r="355" spans="3:35" x14ac:dyDescent="0.2">
      <c r="C355" s="240"/>
      <c r="D355" s="240"/>
      <c r="E355" s="240"/>
      <c r="F355" s="240"/>
      <c r="G355" s="240"/>
      <c r="H355" s="240"/>
      <c r="I355" s="240"/>
      <c r="J355" s="240"/>
      <c r="K355" s="240"/>
      <c r="L355" s="240"/>
      <c r="M355" s="241"/>
      <c r="N355" s="241"/>
      <c r="O355" s="241"/>
      <c r="P355" s="241"/>
      <c r="Q355" s="241"/>
      <c r="R355" s="242"/>
      <c r="S355" s="243"/>
      <c r="T355" s="240"/>
      <c r="U355" s="240"/>
      <c r="V355" s="240"/>
      <c r="W355" s="240"/>
      <c r="X355" s="240"/>
      <c r="Y355" s="240"/>
      <c r="Z355" s="241"/>
      <c r="AA355" s="241"/>
      <c r="AB355" s="241"/>
      <c r="AC355" s="241"/>
      <c r="AD355" s="241"/>
      <c r="AE355" s="241"/>
      <c r="AF355" s="241"/>
      <c r="AG355" s="241"/>
      <c r="AH355" s="241"/>
      <c r="AI355" s="240"/>
    </row>
    <row r="356" spans="3:35" x14ac:dyDescent="0.2">
      <c r="C356" s="240"/>
      <c r="D356" s="240"/>
      <c r="E356" s="240"/>
      <c r="F356" s="240"/>
      <c r="G356" s="240"/>
      <c r="H356" s="240"/>
      <c r="I356" s="240"/>
      <c r="J356" s="240"/>
      <c r="K356" s="240"/>
      <c r="L356" s="240"/>
      <c r="M356" s="241"/>
      <c r="N356" s="241"/>
      <c r="O356" s="241"/>
      <c r="P356" s="241"/>
      <c r="Q356" s="241"/>
      <c r="R356" s="242"/>
      <c r="S356" s="243"/>
      <c r="T356" s="240"/>
      <c r="U356" s="240"/>
      <c r="V356" s="240"/>
      <c r="W356" s="240"/>
      <c r="X356" s="240"/>
      <c r="Y356" s="240"/>
      <c r="Z356" s="241"/>
      <c r="AA356" s="241"/>
      <c r="AB356" s="241"/>
      <c r="AC356" s="241"/>
      <c r="AD356" s="241"/>
      <c r="AE356" s="241"/>
      <c r="AF356" s="241"/>
      <c r="AG356" s="241"/>
      <c r="AH356" s="241"/>
      <c r="AI356" s="240"/>
    </row>
    <row r="357" spans="3:35" x14ac:dyDescent="0.2">
      <c r="C357" s="240"/>
      <c r="D357" s="240"/>
      <c r="E357" s="240"/>
      <c r="F357" s="240"/>
      <c r="G357" s="240"/>
      <c r="H357" s="240"/>
      <c r="I357" s="240"/>
      <c r="J357" s="240"/>
      <c r="K357" s="240"/>
      <c r="L357" s="240"/>
      <c r="M357" s="241"/>
      <c r="N357" s="241"/>
      <c r="O357" s="241"/>
      <c r="P357" s="241"/>
      <c r="Q357" s="241"/>
      <c r="R357" s="242"/>
      <c r="S357" s="243"/>
      <c r="T357" s="240"/>
      <c r="U357" s="240"/>
      <c r="V357" s="240"/>
      <c r="W357" s="240"/>
      <c r="X357" s="240"/>
      <c r="Y357" s="240"/>
      <c r="Z357" s="241"/>
      <c r="AA357" s="241"/>
      <c r="AB357" s="241"/>
      <c r="AC357" s="241"/>
      <c r="AD357" s="241"/>
      <c r="AE357" s="241"/>
      <c r="AF357" s="241"/>
      <c r="AG357" s="241"/>
      <c r="AH357" s="241"/>
      <c r="AI357" s="240"/>
    </row>
    <row r="358" spans="3:35" x14ac:dyDescent="0.2">
      <c r="C358" s="240"/>
      <c r="D358" s="240"/>
      <c r="E358" s="240"/>
      <c r="F358" s="240"/>
      <c r="G358" s="240"/>
      <c r="H358" s="240"/>
      <c r="I358" s="240"/>
      <c r="J358" s="240"/>
      <c r="K358" s="240"/>
      <c r="L358" s="240"/>
      <c r="M358" s="241"/>
      <c r="N358" s="241"/>
      <c r="O358" s="241"/>
      <c r="P358" s="241"/>
      <c r="Q358" s="241"/>
      <c r="R358" s="242"/>
      <c r="S358" s="243"/>
      <c r="T358" s="240"/>
      <c r="U358" s="240"/>
      <c r="V358" s="240"/>
      <c r="W358" s="240"/>
      <c r="X358" s="240"/>
      <c r="Y358" s="240"/>
      <c r="Z358" s="241"/>
      <c r="AA358" s="241"/>
      <c r="AB358" s="241"/>
      <c r="AC358" s="241"/>
      <c r="AD358" s="241"/>
      <c r="AE358" s="241"/>
      <c r="AF358" s="241"/>
      <c r="AG358" s="241"/>
      <c r="AH358" s="241"/>
      <c r="AI358" s="240"/>
    </row>
    <row r="359" spans="3:35" x14ac:dyDescent="0.2">
      <c r="C359" s="240"/>
      <c r="D359" s="240"/>
      <c r="E359" s="240"/>
      <c r="F359" s="240"/>
      <c r="G359" s="240"/>
      <c r="H359" s="240"/>
      <c r="I359" s="240"/>
      <c r="J359" s="240"/>
      <c r="K359" s="240"/>
      <c r="L359" s="240"/>
      <c r="M359" s="241"/>
      <c r="N359" s="241"/>
      <c r="O359" s="241"/>
      <c r="P359" s="241"/>
      <c r="Q359" s="241"/>
      <c r="R359" s="242"/>
      <c r="S359" s="243"/>
      <c r="T359" s="240"/>
      <c r="U359" s="240"/>
      <c r="V359" s="240"/>
      <c r="W359" s="240"/>
      <c r="X359" s="240"/>
      <c r="Y359" s="240"/>
      <c r="Z359" s="241"/>
      <c r="AA359" s="241"/>
      <c r="AB359" s="241"/>
      <c r="AC359" s="241"/>
      <c r="AD359" s="241"/>
      <c r="AE359" s="241"/>
      <c r="AF359" s="241"/>
      <c r="AG359" s="241"/>
      <c r="AH359" s="241"/>
      <c r="AI359" s="240"/>
    </row>
    <row r="360" spans="3:35" x14ac:dyDescent="0.2">
      <c r="C360" s="240"/>
      <c r="D360" s="240"/>
      <c r="E360" s="240"/>
      <c r="F360" s="240"/>
      <c r="G360" s="240"/>
      <c r="H360" s="240"/>
      <c r="I360" s="240"/>
      <c r="J360" s="240"/>
      <c r="K360" s="240"/>
      <c r="L360" s="240"/>
      <c r="M360" s="241"/>
      <c r="N360" s="241"/>
      <c r="O360" s="241"/>
      <c r="P360" s="241"/>
      <c r="Q360" s="241"/>
      <c r="R360" s="242"/>
      <c r="S360" s="243"/>
      <c r="T360" s="240"/>
      <c r="U360" s="240"/>
      <c r="V360" s="240"/>
      <c r="W360" s="240"/>
      <c r="X360" s="240"/>
      <c r="Y360" s="240"/>
      <c r="Z360" s="241"/>
      <c r="AA360" s="241"/>
      <c r="AB360" s="241"/>
      <c r="AC360" s="241"/>
      <c r="AD360" s="241"/>
      <c r="AE360" s="241"/>
      <c r="AF360" s="241"/>
      <c r="AG360" s="241"/>
      <c r="AH360" s="241"/>
      <c r="AI360" s="240"/>
    </row>
    <row r="361" spans="3:35" x14ac:dyDescent="0.2">
      <c r="C361" s="240"/>
      <c r="D361" s="240"/>
      <c r="E361" s="240"/>
      <c r="F361" s="240"/>
      <c r="G361" s="240"/>
      <c r="H361" s="240"/>
      <c r="I361" s="240"/>
      <c r="J361" s="240"/>
      <c r="K361" s="240"/>
      <c r="L361" s="240"/>
      <c r="M361" s="241"/>
      <c r="N361" s="241"/>
      <c r="O361" s="241"/>
      <c r="P361" s="241"/>
      <c r="Q361" s="241"/>
      <c r="R361" s="242"/>
      <c r="S361" s="243"/>
      <c r="T361" s="240"/>
      <c r="U361" s="240"/>
      <c r="V361" s="240"/>
      <c r="W361" s="240"/>
      <c r="X361" s="240"/>
      <c r="Y361" s="240"/>
      <c r="Z361" s="241"/>
      <c r="AA361" s="241"/>
      <c r="AB361" s="241"/>
      <c r="AC361" s="241"/>
      <c r="AD361" s="241"/>
      <c r="AE361" s="241"/>
      <c r="AF361" s="241"/>
      <c r="AG361" s="241"/>
      <c r="AH361" s="241"/>
      <c r="AI361" s="240"/>
    </row>
    <row r="362" spans="3:35" x14ac:dyDescent="0.2">
      <c r="C362" s="240"/>
      <c r="D362" s="240"/>
      <c r="E362" s="240"/>
      <c r="F362" s="240"/>
      <c r="G362" s="240"/>
      <c r="H362" s="240"/>
      <c r="I362" s="240"/>
      <c r="J362" s="240"/>
      <c r="K362" s="240"/>
      <c r="L362" s="240"/>
      <c r="M362" s="241"/>
      <c r="N362" s="241"/>
      <c r="O362" s="241"/>
      <c r="P362" s="241"/>
      <c r="Q362" s="241"/>
      <c r="R362" s="242"/>
      <c r="S362" s="243"/>
      <c r="T362" s="240"/>
      <c r="U362" s="240"/>
      <c r="V362" s="240"/>
      <c r="W362" s="240"/>
      <c r="X362" s="240"/>
      <c r="Y362" s="240"/>
      <c r="Z362" s="241"/>
      <c r="AA362" s="241"/>
      <c r="AB362" s="241"/>
      <c r="AC362" s="241"/>
      <c r="AD362" s="241"/>
      <c r="AE362" s="241"/>
      <c r="AF362" s="241"/>
      <c r="AG362" s="241"/>
      <c r="AH362" s="241"/>
      <c r="AI362" s="240"/>
    </row>
    <row r="363" spans="3:35" x14ac:dyDescent="0.2">
      <c r="C363" s="240"/>
      <c r="D363" s="240"/>
      <c r="E363" s="240"/>
      <c r="F363" s="240"/>
      <c r="G363" s="240"/>
      <c r="H363" s="240"/>
      <c r="I363" s="240"/>
      <c r="J363" s="240"/>
      <c r="K363" s="240"/>
      <c r="L363" s="240"/>
      <c r="M363" s="241"/>
      <c r="N363" s="241"/>
      <c r="O363" s="241"/>
      <c r="P363" s="241"/>
      <c r="Q363" s="241"/>
      <c r="R363" s="242"/>
      <c r="S363" s="243"/>
      <c r="T363" s="240"/>
      <c r="U363" s="240"/>
      <c r="V363" s="240"/>
      <c r="W363" s="240"/>
      <c r="X363" s="240"/>
      <c r="Y363" s="240"/>
      <c r="Z363" s="241"/>
      <c r="AA363" s="241"/>
      <c r="AB363" s="241"/>
      <c r="AC363" s="241"/>
      <c r="AD363" s="241"/>
      <c r="AE363" s="241"/>
      <c r="AF363" s="241"/>
      <c r="AG363" s="241"/>
      <c r="AH363" s="241"/>
      <c r="AI363" s="240"/>
    </row>
    <row r="364" spans="3:35" x14ac:dyDescent="0.2">
      <c r="C364" s="240"/>
      <c r="D364" s="240"/>
      <c r="E364" s="240"/>
      <c r="F364" s="240"/>
      <c r="G364" s="240"/>
      <c r="H364" s="240"/>
      <c r="I364" s="240"/>
      <c r="J364" s="240"/>
      <c r="K364" s="240"/>
      <c r="L364" s="240"/>
      <c r="M364" s="241"/>
      <c r="N364" s="241"/>
      <c r="O364" s="241"/>
      <c r="P364" s="241"/>
      <c r="Q364" s="241"/>
      <c r="R364" s="242"/>
      <c r="S364" s="243"/>
      <c r="T364" s="240"/>
      <c r="U364" s="240"/>
      <c r="V364" s="240"/>
      <c r="W364" s="240"/>
      <c r="X364" s="240"/>
      <c r="Y364" s="240"/>
      <c r="Z364" s="241"/>
      <c r="AA364" s="241"/>
      <c r="AB364" s="241"/>
      <c r="AC364" s="241"/>
      <c r="AD364" s="241"/>
      <c r="AE364" s="241"/>
      <c r="AF364" s="241"/>
      <c r="AG364" s="241"/>
      <c r="AH364" s="241"/>
      <c r="AI364" s="240"/>
    </row>
    <row r="365" spans="3:35" x14ac:dyDescent="0.2">
      <c r="C365" s="240"/>
      <c r="D365" s="240"/>
      <c r="E365" s="240"/>
      <c r="F365" s="240"/>
      <c r="G365" s="240"/>
      <c r="H365" s="240"/>
      <c r="I365" s="240"/>
      <c r="J365" s="240"/>
      <c r="K365" s="240"/>
      <c r="L365" s="240"/>
      <c r="M365" s="241"/>
      <c r="N365" s="241"/>
      <c r="O365" s="241"/>
      <c r="P365" s="241"/>
      <c r="Q365" s="241"/>
      <c r="R365" s="242"/>
      <c r="S365" s="243"/>
      <c r="T365" s="240"/>
      <c r="U365" s="240"/>
      <c r="V365" s="240"/>
      <c r="W365" s="240"/>
      <c r="X365" s="240"/>
      <c r="Y365" s="240"/>
      <c r="Z365" s="241"/>
      <c r="AA365" s="241"/>
      <c r="AB365" s="241"/>
      <c r="AC365" s="241"/>
      <c r="AD365" s="241"/>
      <c r="AE365" s="241"/>
      <c r="AF365" s="241"/>
      <c r="AG365" s="241"/>
      <c r="AH365" s="241"/>
      <c r="AI365" s="240"/>
    </row>
    <row r="366" spans="3:35" x14ac:dyDescent="0.2">
      <c r="C366" s="240"/>
      <c r="D366" s="240"/>
      <c r="E366" s="240"/>
      <c r="F366" s="240"/>
      <c r="G366" s="240"/>
      <c r="H366" s="240"/>
      <c r="I366" s="240"/>
      <c r="J366" s="240"/>
      <c r="K366" s="240"/>
      <c r="L366" s="240"/>
      <c r="M366" s="241"/>
      <c r="N366" s="241"/>
      <c r="O366" s="241"/>
      <c r="P366" s="241"/>
      <c r="Q366" s="241"/>
      <c r="R366" s="242"/>
      <c r="S366" s="243"/>
      <c r="T366" s="240"/>
      <c r="U366" s="240"/>
      <c r="V366" s="240"/>
      <c r="W366" s="240"/>
      <c r="X366" s="240"/>
      <c r="Y366" s="240"/>
      <c r="Z366" s="241"/>
      <c r="AA366" s="241"/>
      <c r="AB366" s="241"/>
      <c r="AC366" s="241"/>
      <c r="AD366" s="241"/>
      <c r="AE366" s="241"/>
      <c r="AF366" s="241"/>
      <c r="AG366" s="241"/>
      <c r="AH366" s="241"/>
      <c r="AI366" s="240"/>
    </row>
    <row r="367" spans="3:35" x14ac:dyDescent="0.2">
      <c r="C367" s="240"/>
      <c r="D367" s="240"/>
      <c r="E367" s="240"/>
      <c r="F367" s="240"/>
      <c r="G367" s="240"/>
      <c r="H367" s="240"/>
      <c r="I367" s="240"/>
      <c r="J367" s="240"/>
      <c r="K367" s="240"/>
      <c r="L367" s="240"/>
      <c r="M367" s="241"/>
      <c r="N367" s="241"/>
      <c r="O367" s="241"/>
      <c r="P367" s="241"/>
      <c r="Q367" s="241"/>
      <c r="R367" s="242"/>
      <c r="S367" s="243"/>
      <c r="T367" s="240"/>
      <c r="U367" s="240"/>
      <c r="V367" s="240"/>
      <c r="W367" s="240"/>
      <c r="X367" s="240"/>
      <c r="Y367" s="240"/>
      <c r="Z367" s="241"/>
      <c r="AA367" s="241"/>
      <c r="AB367" s="241"/>
      <c r="AC367" s="241"/>
      <c r="AD367" s="241"/>
      <c r="AE367" s="241"/>
      <c r="AF367" s="241"/>
      <c r="AG367" s="241"/>
      <c r="AH367" s="241"/>
      <c r="AI367" s="240"/>
    </row>
    <row r="368" spans="3:35" x14ac:dyDescent="0.2">
      <c r="C368" s="240"/>
      <c r="D368" s="240"/>
      <c r="E368" s="240"/>
      <c r="F368" s="240"/>
      <c r="G368" s="240"/>
      <c r="H368" s="240"/>
      <c r="I368" s="240"/>
      <c r="J368" s="240"/>
      <c r="K368" s="240"/>
      <c r="L368" s="240"/>
      <c r="M368" s="241"/>
      <c r="N368" s="241"/>
      <c r="O368" s="241"/>
      <c r="P368" s="241"/>
      <c r="Q368" s="241"/>
      <c r="R368" s="242"/>
      <c r="S368" s="243"/>
      <c r="T368" s="240"/>
      <c r="U368" s="240"/>
      <c r="V368" s="240"/>
      <c r="W368" s="240"/>
      <c r="X368" s="240"/>
      <c r="Y368" s="240"/>
      <c r="Z368" s="241"/>
      <c r="AA368" s="241"/>
      <c r="AB368" s="241"/>
      <c r="AC368" s="241"/>
      <c r="AD368" s="241"/>
      <c r="AE368" s="241"/>
      <c r="AF368" s="241"/>
      <c r="AG368" s="241"/>
      <c r="AH368" s="241"/>
      <c r="AI368" s="240"/>
    </row>
  </sheetData>
  <sheetProtection formatCells="0" formatColumns="0" formatRows="0" insertColumns="0" insertRows="0" insertHyperlinks="0" deleteColumns="0" deleteRows="0" sort="0" autoFilter="0" pivotTables="0"/>
  <sortState ref="C65:AI73">
    <sortCondition ref="E65:E73"/>
    <sortCondition ref="I65:I73"/>
  </sortState>
  <mergeCells count="9">
    <mergeCell ref="Z3:AH3"/>
    <mergeCell ref="B65:B73"/>
    <mergeCell ref="G2:K2"/>
    <mergeCell ref="L2:Y2"/>
    <mergeCell ref="C3:G3"/>
    <mergeCell ref="H3:K3"/>
    <mergeCell ref="L3:S3"/>
    <mergeCell ref="T3:V3"/>
    <mergeCell ref="W3:Y3"/>
  </mergeCells>
  <dataValidations count="6">
    <dataValidation type="list" allowBlank="1" showInputMessage="1" showErrorMessage="1" sqref="J32:J37 J15:J20 J65:J73 J9:J13 J5:J7 J39:J63">
      <formula1>$C$82:$C$84</formula1>
    </dataValidation>
    <dataValidation type="list" allowBlank="1" showInputMessage="1" showErrorMessage="1" sqref="J14">
      <formula1>$C$69:$C$72</formula1>
    </dataValidation>
    <dataValidation type="list" allowBlank="1" showInputMessage="1" showErrorMessage="1" sqref="J38">
      <formula1>$C$107:$C$109</formula1>
    </dataValidation>
    <dataValidation type="list" allowBlank="1" showInputMessage="1" showErrorMessage="1" sqref="J64">
      <formula1>$C$92:$C$94</formula1>
    </dataValidation>
    <dataValidation type="list" allowBlank="1" showInputMessage="1" showErrorMessage="1" sqref="J8">
      <formula1>$C$87:$C$89</formula1>
    </dataValidation>
    <dataValidation type="list" allowBlank="1" showInputMessage="1" showErrorMessage="1" sqref="J21:J31">
      <formula1>$C$82:$C$83</formula1>
    </dataValidation>
  </dataValidations>
  <pageMargins left="0.7" right="0.7" top="0.75" bottom="0.75" header="0.3" footer="0.3"/>
  <pageSetup paperSize="9" scale="20" fitToHeight="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7"/>
  <sheetViews>
    <sheetView workbookViewId="0">
      <selection activeCell="L23" sqref="L23"/>
    </sheetView>
  </sheetViews>
  <sheetFormatPr defaultRowHeight="15" x14ac:dyDescent="0.25"/>
  <cols>
    <col min="8" max="8" width="38.42578125" bestFit="1" customWidth="1"/>
    <col min="12" max="12" width="16.28515625" customWidth="1"/>
    <col min="14" max="14" width="17.140625" customWidth="1"/>
  </cols>
  <sheetData>
    <row r="2" spans="2:14" x14ac:dyDescent="0.25">
      <c r="E2" t="s">
        <v>293</v>
      </c>
      <c r="H2" t="s">
        <v>290</v>
      </c>
      <c r="L2" t="s">
        <v>252</v>
      </c>
      <c r="N2" t="s">
        <v>256</v>
      </c>
    </row>
    <row r="3" spans="2:14" x14ac:dyDescent="0.25">
      <c r="B3" t="s">
        <v>18</v>
      </c>
      <c r="E3" t="s">
        <v>66</v>
      </c>
      <c r="H3" t="s">
        <v>291</v>
      </c>
      <c r="L3" t="s">
        <v>253</v>
      </c>
      <c r="N3" t="s">
        <v>257</v>
      </c>
    </row>
    <row r="4" spans="2:14" x14ac:dyDescent="0.25">
      <c r="B4" t="s">
        <v>19</v>
      </c>
      <c r="E4" t="s">
        <v>292</v>
      </c>
      <c r="H4" t="s">
        <v>89</v>
      </c>
      <c r="L4" t="s">
        <v>288</v>
      </c>
      <c r="N4" t="s">
        <v>258</v>
      </c>
    </row>
    <row r="5" spans="2:14" x14ac:dyDescent="0.25">
      <c r="B5" t="s">
        <v>21</v>
      </c>
      <c r="E5" t="s">
        <v>65</v>
      </c>
      <c r="H5" t="s">
        <v>289</v>
      </c>
      <c r="L5" t="s">
        <v>254</v>
      </c>
      <c r="N5" t="s">
        <v>259</v>
      </c>
    </row>
    <row r="6" spans="2:14" x14ac:dyDescent="0.25">
      <c r="B6" t="s">
        <v>20</v>
      </c>
      <c r="N6" t="s">
        <v>260</v>
      </c>
    </row>
    <row r="7" spans="2:14" x14ac:dyDescent="0.25">
      <c r="N7" t="s">
        <v>265</v>
      </c>
    </row>
    <row r="8" spans="2:14" x14ac:dyDescent="0.25">
      <c r="B8" t="s">
        <v>442</v>
      </c>
      <c r="N8" t="s">
        <v>266</v>
      </c>
    </row>
    <row r="9" spans="2:14" x14ac:dyDescent="0.25">
      <c r="B9" t="s">
        <v>453</v>
      </c>
      <c r="H9" t="s">
        <v>290</v>
      </c>
      <c r="N9" t="s">
        <v>267</v>
      </c>
    </row>
    <row r="10" spans="2:14" x14ac:dyDescent="0.25">
      <c r="B10" t="s">
        <v>443</v>
      </c>
      <c r="H10" t="s">
        <v>291</v>
      </c>
      <c r="N10" t="s">
        <v>268</v>
      </c>
    </row>
    <row r="11" spans="2:14" x14ac:dyDescent="0.25">
      <c r="E11" s="10" t="e">
        <f>DATE+DATE(2013,1,1)</f>
        <v>#NAME?</v>
      </c>
      <c r="H11" t="s">
        <v>89</v>
      </c>
      <c r="N11" t="s">
        <v>313</v>
      </c>
    </row>
    <row r="12" spans="2:14" x14ac:dyDescent="0.25">
      <c r="H12" t="s">
        <v>869</v>
      </c>
    </row>
    <row r="13" spans="2:14" x14ac:dyDescent="0.25">
      <c r="B13" t="s">
        <v>213</v>
      </c>
    </row>
    <row r="14" spans="2:14" x14ac:dyDescent="0.25">
      <c r="B14" t="s">
        <v>221</v>
      </c>
    </row>
    <row r="19" spans="2:12" x14ac:dyDescent="0.25">
      <c r="B19" t="s">
        <v>799</v>
      </c>
      <c r="H19" t="s">
        <v>811</v>
      </c>
      <c r="L19" t="s">
        <v>888</v>
      </c>
    </row>
    <row r="20" spans="2:12" x14ac:dyDescent="0.25">
      <c r="B20" t="s">
        <v>800</v>
      </c>
      <c r="H20" t="s">
        <v>812</v>
      </c>
      <c r="L20" t="s">
        <v>889</v>
      </c>
    </row>
    <row r="21" spans="2:12" x14ac:dyDescent="0.25">
      <c r="B21" t="s">
        <v>801</v>
      </c>
      <c r="H21" t="s">
        <v>813</v>
      </c>
      <c r="L21" t="s">
        <v>890</v>
      </c>
    </row>
    <row r="22" spans="2:12" x14ac:dyDescent="0.25">
      <c r="B22" t="s">
        <v>804</v>
      </c>
      <c r="H22" t="s">
        <v>814</v>
      </c>
      <c r="L22" t="s">
        <v>891</v>
      </c>
    </row>
    <row r="23" spans="2:12" x14ac:dyDescent="0.25">
      <c r="B23" t="s">
        <v>803</v>
      </c>
    </row>
    <row r="24" spans="2:12" x14ac:dyDescent="0.25">
      <c r="B24" t="s">
        <v>805</v>
      </c>
    </row>
    <row r="25" spans="2:12" x14ac:dyDescent="0.25">
      <c r="B25" t="s">
        <v>806</v>
      </c>
    </row>
    <row r="26" spans="2:12" x14ac:dyDescent="0.25">
      <c r="B26" t="s">
        <v>802</v>
      </c>
      <c r="H26" s="707">
        <v>42309</v>
      </c>
      <c r="I26" s="706">
        <v>42309</v>
      </c>
    </row>
    <row r="27" spans="2:12" x14ac:dyDescent="0.25">
      <c r="H27" s="707">
        <v>42581</v>
      </c>
      <c r="I27" s="706">
        <v>42581</v>
      </c>
    </row>
    <row r="29" spans="2:12" ht="16.5" thickBot="1" x14ac:dyDescent="0.3">
      <c r="B29" t="s">
        <v>818</v>
      </c>
      <c r="H29" s="708"/>
    </row>
    <row r="30" spans="2:12" ht="15.75" x14ac:dyDescent="0.25">
      <c r="B30" t="s">
        <v>819</v>
      </c>
      <c r="H30" s="709"/>
    </row>
    <row r="31" spans="2:12" x14ac:dyDescent="0.25">
      <c r="B31" t="s">
        <v>820</v>
      </c>
    </row>
    <row r="32" spans="2:12" x14ac:dyDescent="0.25">
      <c r="B32" t="s">
        <v>821</v>
      </c>
    </row>
    <row r="33" spans="2:2" x14ac:dyDescent="0.25">
      <c r="B33" t="s">
        <v>822</v>
      </c>
    </row>
    <row r="34" spans="2:2" x14ac:dyDescent="0.25">
      <c r="B34" t="s">
        <v>870</v>
      </c>
    </row>
    <row r="35" spans="2:2" x14ac:dyDescent="0.25">
      <c r="B35" t="s">
        <v>823</v>
      </c>
    </row>
    <row r="36" spans="2:2" x14ac:dyDescent="0.25">
      <c r="B36" t="s">
        <v>824</v>
      </c>
    </row>
    <row r="37" spans="2:2" x14ac:dyDescent="0.25">
      <c r="B37" t="s">
        <v>825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Guide</vt:lpstr>
      <vt:lpstr>Snapshot</vt:lpstr>
      <vt:lpstr>SituationAnalysis</vt:lpstr>
      <vt:lpstr>Funds analysis</vt:lpstr>
      <vt:lpstr>Cluster indicator</vt:lpstr>
      <vt:lpstr>UNICEF</vt:lpstr>
      <vt:lpstr>Database</vt:lpstr>
      <vt:lpstr>Agency funds received</vt:lpstr>
      <vt:lpstr>List</vt:lpstr>
      <vt:lpstr>'Agency funds received'!List</vt:lpstr>
      <vt:lpstr>Database!Print_Area</vt:lpstr>
      <vt:lpstr>Snapshot!Print_Area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MSB</dc:creator>
  <cp:lastModifiedBy>Thein Tun Hlaing</cp:lastModifiedBy>
  <cp:lastPrinted>2015-12-13T15:06:43Z</cp:lastPrinted>
  <dcterms:created xsi:type="dcterms:W3CDTF">2012-10-21T05:17:59Z</dcterms:created>
  <dcterms:modified xsi:type="dcterms:W3CDTF">2016-03-28T08:16:17Z</dcterms:modified>
</cp:coreProperties>
</file>